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9- SETEMBRO\1  CEJAMA - Ana\Estrutura\"/>
    </mc:Choice>
  </mc:AlternateContent>
  <xr:revisionPtr revIDLastSave="0" documentId="13_ncr:1_{10B84768-83AC-4D0A-96C2-9CBD9335C75B}" xr6:coauthVersionLast="47" xr6:coauthVersionMax="47" xr10:uidLastSave="{00000000-0000-0000-0000-000000000000}"/>
  <bookViews>
    <workbookView xWindow="-108" yWindow="-108" windowWidth="23256" windowHeight="12576" firstSheet="21" activeTab="29" xr2:uid="{4D451AB7-C4DE-446E-8BA4-D4AAD5A2DCB3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56" r:id="rId31"/>
    <pivotCache cacheId="57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L5" i="26" l="1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T13" i="21"/>
  <c r="S13" i="21"/>
  <c r="Y13" i="21" s="1"/>
  <c r="AG13" i="21" s="1"/>
  <c r="R13" i="21"/>
  <c r="X13" i="21" s="1"/>
  <c r="AF13" i="21" s="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Y8" i="21" s="1"/>
  <c r="AG8" i="21" s="1"/>
  <c r="R8" i="21"/>
  <c r="X8" i="21" s="1"/>
  <c r="AF8" i="21" s="1"/>
  <c r="AE7" i="21"/>
  <c r="AD7" i="21"/>
  <c r="AE6" i="21"/>
  <c r="AD6" i="21"/>
  <c r="AC6" i="21"/>
  <c r="AB6" i="21"/>
  <c r="AA6" i="21"/>
  <c r="W6" i="21"/>
  <c r="V6" i="21"/>
  <c r="U6" i="21"/>
  <c r="AI6" i="21" s="1"/>
  <c r="T6" i="21"/>
  <c r="S6" i="21"/>
  <c r="Y6" i="21" s="1"/>
  <c r="AG6" i="21" s="1"/>
  <c r="R6" i="21"/>
  <c r="X6" i="21" s="1"/>
  <c r="AF6" i="21" s="1"/>
  <c r="AE5" i="21"/>
  <c r="AD5" i="21"/>
  <c r="AC5" i="21"/>
  <c r="AB5" i="21"/>
  <c r="AA5" i="21"/>
  <c r="W5" i="21"/>
  <c r="V5" i="21"/>
  <c r="U5" i="21"/>
  <c r="AI5" i="21" s="1"/>
  <c r="T5" i="21"/>
  <c r="S5" i="21"/>
  <c r="Y5" i="21" s="1"/>
  <c r="AG5" i="21" s="1"/>
  <c r="R5" i="21"/>
  <c r="X5" i="21" s="1"/>
  <c r="AF5" i="21" s="1"/>
  <c r="AE4" i="21"/>
  <c r="AD4" i="21"/>
  <c r="AC4" i="21"/>
  <c r="AB4" i="21"/>
  <c r="AA4" i="21"/>
  <c r="W4" i="21"/>
  <c r="V4" i="21"/>
  <c r="U4" i="21"/>
  <c r="AI4" i="21" s="1"/>
  <c r="T4" i="21"/>
  <c r="S4" i="21"/>
  <c r="R4" i="21"/>
  <c r="X4" i="21" s="1"/>
  <c r="AF4" i="21" s="1"/>
  <c r="AE3" i="21"/>
  <c r="AD3" i="21"/>
  <c r="AC3" i="21"/>
  <c r="AB3" i="21"/>
  <c r="AA3" i="21"/>
  <c r="W3" i="21"/>
  <c r="V3" i="21"/>
  <c r="U3" i="21"/>
  <c r="AI3" i="21" s="1"/>
  <c r="T3" i="21"/>
  <c r="S3" i="21"/>
  <c r="Y3" i="21" s="1"/>
  <c r="AG3" i="21" s="1"/>
  <c r="R3" i="21"/>
  <c r="J379" i="21"/>
  <c r="J378" i="21"/>
  <c r="M378" i="21" s="1"/>
  <c r="J377" i="21"/>
  <c r="J376" i="21"/>
  <c r="J375" i="21"/>
  <c r="M375" i="21" s="1"/>
  <c r="J374" i="21"/>
  <c r="M374" i="21" s="1"/>
  <c r="J373" i="21"/>
  <c r="J372" i="21"/>
  <c r="J371" i="21"/>
  <c r="J370" i="21"/>
  <c r="M370" i="21" s="1"/>
  <c r="J369" i="21"/>
  <c r="J368" i="21"/>
  <c r="M391" i="21"/>
  <c r="J391" i="21"/>
  <c r="J390" i="21"/>
  <c r="M390" i="21" s="1"/>
  <c r="J389" i="21"/>
  <c r="M389" i="21" s="1"/>
  <c r="J388" i="21"/>
  <c r="M388" i="21" s="1"/>
  <c r="M387" i="21"/>
  <c r="J387" i="21"/>
  <c r="J386" i="21"/>
  <c r="M386" i="21" s="1"/>
  <c r="J385" i="21"/>
  <c r="M385" i="21" s="1"/>
  <c r="J384" i="21"/>
  <c r="M384" i="21" s="1"/>
  <c r="J383" i="21"/>
  <c r="M383" i="21" s="1"/>
  <c r="J382" i="21"/>
  <c r="M382" i="21" s="1"/>
  <c r="J381" i="21"/>
  <c r="M381" i="21" s="1"/>
  <c r="J380" i="21"/>
  <c r="M379" i="21"/>
  <c r="M377" i="21"/>
  <c r="M376" i="21"/>
  <c r="M373" i="21"/>
  <c r="M372" i="21"/>
  <c r="M371" i="21"/>
  <c r="M369" i="21"/>
  <c r="M368" i="21"/>
  <c r="J367" i="21"/>
  <c r="M367" i="21" s="1"/>
  <c r="J366" i="21"/>
  <c r="M366" i="21" s="1"/>
  <c r="J365" i="21"/>
  <c r="M365" i="21" s="1"/>
  <c r="J364" i="21"/>
  <c r="M364" i="21" s="1"/>
  <c r="J363" i="21"/>
  <c r="M363" i="21" s="1"/>
  <c r="J362" i="21"/>
  <c r="M362" i="21" s="1"/>
  <c r="J361" i="21"/>
  <c r="M361" i="21" s="1"/>
  <c r="J360" i="21"/>
  <c r="M360" i="21" s="1"/>
  <c r="J359" i="21"/>
  <c r="M359" i="21" s="1"/>
  <c r="J358" i="21"/>
  <c r="M358" i="21" s="1"/>
  <c r="J357" i="21"/>
  <c r="M357" i="21" s="1"/>
  <c r="J356" i="21"/>
  <c r="M356" i="21" s="1"/>
  <c r="J355" i="21"/>
  <c r="M355" i="21" s="1"/>
  <c r="J354" i="21"/>
  <c r="M354" i="21" s="1"/>
  <c r="J353" i="21"/>
  <c r="M353" i="21" s="1"/>
  <c r="J352" i="21"/>
  <c r="M352" i="21" s="1"/>
  <c r="J351" i="21"/>
  <c r="M351" i="21" s="1"/>
  <c r="J350" i="21"/>
  <c r="M350" i="21" s="1"/>
  <c r="J349" i="21"/>
  <c r="M349" i="21" s="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J337" i="21"/>
  <c r="M337" i="21" s="1"/>
  <c r="J336" i="21"/>
  <c r="M336" i="21" s="1"/>
  <c r="J335" i="21"/>
  <c r="M335" i="21" s="1"/>
  <c r="J334" i="21"/>
  <c r="M334" i="21" s="1"/>
  <c r="J333" i="21"/>
  <c r="M333" i="21" s="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J325" i="21"/>
  <c r="M325" i="21" s="1"/>
  <c r="J324" i="21"/>
  <c r="M324" i="21" s="1"/>
  <c r="J323" i="21"/>
  <c r="M323" i="21" s="1"/>
  <c r="J322" i="21"/>
  <c r="M322" i="21" s="1"/>
  <c r="J321" i="21"/>
  <c r="M321" i="21" s="1"/>
  <c r="J320" i="21"/>
  <c r="M320" i="21" s="1"/>
  <c r="J319" i="21"/>
  <c r="M319" i="21" s="1"/>
  <c r="J318" i="21"/>
  <c r="M318" i="21" s="1"/>
  <c r="J317" i="21"/>
  <c r="M317" i="21" s="1"/>
  <c r="M316" i="21"/>
  <c r="J316" i="21"/>
  <c r="J315" i="21"/>
  <c r="M315" i="21" s="1"/>
  <c r="M314" i="21"/>
  <c r="J314" i="21"/>
  <c r="J313" i="21"/>
  <c r="M313" i="21" s="1"/>
  <c r="J312" i="21"/>
  <c r="M312" i="21" s="1"/>
  <c r="J311" i="21"/>
  <c r="M311" i="21" s="1"/>
  <c r="J310" i="21"/>
  <c r="M310" i="21" s="1"/>
  <c r="J309" i="21"/>
  <c r="M309" i="21" s="1"/>
  <c r="J308" i="21"/>
  <c r="M308" i="21" s="1"/>
  <c r="J307" i="21"/>
  <c r="M307" i="21" s="1"/>
  <c r="J306" i="21"/>
  <c r="M306" i="21" s="1"/>
  <c r="J305" i="21"/>
  <c r="M305" i="21" s="1"/>
  <c r="J304" i="21"/>
  <c r="M304" i="21" s="1"/>
  <c r="J303" i="21"/>
  <c r="M303" i="21" s="1"/>
  <c r="J302" i="21"/>
  <c r="M302" i="21" s="1"/>
  <c r="J301" i="21"/>
  <c r="M301" i="21" s="1"/>
  <c r="M300" i="21"/>
  <c r="J300" i="21"/>
  <c r="J299" i="21"/>
  <c r="M299" i="21" s="1"/>
  <c r="M298" i="21"/>
  <c r="J298" i="21"/>
  <c r="J297" i="21"/>
  <c r="M297" i="21" s="1"/>
  <c r="J296" i="21"/>
  <c r="M296" i="21" s="1"/>
  <c r="J295" i="21"/>
  <c r="M295" i="21" s="1"/>
  <c r="J294" i="21"/>
  <c r="M294" i="21" s="1"/>
  <c r="J293" i="21"/>
  <c r="M293" i="21" s="1"/>
  <c r="M292" i="21"/>
  <c r="J292" i="21"/>
  <c r="J291" i="21"/>
  <c r="M291" i="21" s="1"/>
  <c r="J290" i="21"/>
  <c r="M290" i="21" s="1"/>
  <c r="J289" i="21"/>
  <c r="M289" i="21" s="1"/>
  <c r="J288" i="21"/>
  <c r="M288" i="21" s="1"/>
  <c r="J287" i="21"/>
  <c r="M287" i="21" s="1"/>
  <c r="J286" i="21"/>
  <c r="M286" i="21" s="1"/>
  <c r="J285" i="21"/>
  <c r="M285" i="21" s="1"/>
  <c r="M284" i="21"/>
  <c r="J284" i="21"/>
  <c r="J283" i="21"/>
  <c r="M283" i="21" s="1"/>
  <c r="M282" i="21"/>
  <c r="J282" i="21"/>
  <c r="J281" i="21"/>
  <c r="M281" i="21" s="1"/>
  <c r="J280" i="21"/>
  <c r="M280" i="21" s="1"/>
  <c r="J279" i="21"/>
  <c r="M279" i="21" s="1"/>
  <c r="M278" i="21"/>
  <c r="J278" i="21"/>
  <c r="J277" i="21"/>
  <c r="M277" i="21" s="1"/>
  <c r="J276" i="21"/>
  <c r="M276" i="21" s="1"/>
  <c r="M275" i="21"/>
  <c r="J275" i="21"/>
  <c r="M274" i="21"/>
  <c r="J274" i="21"/>
  <c r="J273" i="21"/>
  <c r="M273" i="21" s="1"/>
  <c r="J272" i="21"/>
  <c r="M272" i="21" s="1"/>
  <c r="M271" i="21"/>
  <c r="J271" i="21"/>
  <c r="M270" i="21"/>
  <c r="J270" i="21"/>
  <c r="J269" i="21"/>
  <c r="M269" i="21" s="1"/>
  <c r="J268" i="21"/>
  <c r="M268" i="21" s="1"/>
  <c r="M267" i="21"/>
  <c r="J267" i="21"/>
  <c r="M266" i="21"/>
  <c r="J266" i="21"/>
  <c r="J265" i="21"/>
  <c r="M265" i="21" s="1"/>
  <c r="J264" i="21"/>
  <c r="M264" i="21" s="1"/>
  <c r="M263" i="21"/>
  <c r="J263" i="21"/>
  <c r="M262" i="21"/>
  <c r="J262" i="21"/>
  <c r="J261" i="21"/>
  <c r="M261" i="21" s="1"/>
  <c r="J260" i="21"/>
  <c r="M260" i="21" s="1"/>
  <c r="M259" i="21"/>
  <c r="J259" i="21"/>
  <c r="M258" i="21"/>
  <c r="J258" i="21"/>
  <c r="J257" i="21"/>
  <c r="M257" i="21" s="1"/>
  <c r="J256" i="21"/>
  <c r="M256" i="21" s="1"/>
  <c r="M255" i="21"/>
  <c r="J255" i="21"/>
  <c r="M254" i="21"/>
  <c r="J254" i="21"/>
  <c r="J253" i="21"/>
  <c r="M253" i="21" s="1"/>
  <c r="M252" i="21"/>
  <c r="J252" i="21"/>
  <c r="J251" i="21"/>
  <c r="M251" i="21" s="1"/>
  <c r="M250" i="21"/>
  <c r="J250" i="21"/>
  <c r="J249" i="21"/>
  <c r="M249" i="21" s="1"/>
  <c r="J248" i="21"/>
  <c r="M248" i="21" s="1"/>
  <c r="J247" i="21"/>
  <c r="M247" i="21" s="1"/>
  <c r="M246" i="21"/>
  <c r="J246" i="21"/>
  <c r="J245" i="21"/>
  <c r="M245" i="21" s="1"/>
  <c r="J244" i="21"/>
  <c r="M244" i="21" s="1"/>
  <c r="M243" i="21"/>
  <c r="J243" i="21"/>
  <c r="J242" i="21"/>
  <c r="M242" i="21" s="1"/>
  <c r="J241" i="21"/>
  <c r="M241" i="21" s="1"/>
  <c r="M240" i="21"/>
  <c r="J240" i="21"/>
  <c r="J239" i="21"/>
  <c r="M239" i="21" s="1"/>
  <c r="J238" i="21"/>
  <c r="M238" i="21" s="1"/>
  <c r="J237" i="21"/>
  <c r="M237" i="21" s="1"/>
  <c r="M236" i="21"/>
  <c r="J236" i="21"/>
  <c r="J235" i="21"/>
  <c r="M235" i="21" s="1"/>
  <c r="M234" i="21"/>
  <c r="J234" i="21"/>
  <c r="J233" i="21"/>
  <c r="M233" i="21" s="1"/>
  <c r="M232" i="21"/>
  <c r="J232" i="21"/>
  <c r="M231" i="21"/>
  <c r="J231" i="21"/>
  <c r="J230" i="21"/>
  <c r="M230" i="21" s="1"/>
  <c r="J229" i="21"/>
  <c r="M229" i="21" s="1"/>
  <c r="J228" i="21"/>
  <c r="M228" i="21" s="1"/>
  <c r="M227" i="21"/>
  <c r="J227" i="21"/>
  <c r="J226" i="21"/>
  <c r="M226" i="21" s="1"/>
  <c r="J225" i="21"/>
  <c r="M225" i="21" s="1"/>
  <c r="J224" i="21"/>
  <c r="M224" i="21" s="1"/>
  <c r="M223" i="21"/>
  <c r="J223" i="21"/>
  <c r="M222" i="21"/>
  <c r="J222" i="21"/>
  <c r="J221" i="21"/>
  <c r="M221" i="21" s="1"/>
  <c r="M220" i="21"/>
  <c r="J220" i="21"/>
  <c r="J219" i="21"/>
  <c r="M219" i="21" s="1"/>
  <c r="M218" i="21"/>
  <c r="J218" i="21"/>
  <c r="J217" i="21"/>
  <c r="M217" i="21" s="1"/>
  <c r="J216" i="21"/>
  <c r="M216" i="21" s="1"/>
  <c r="J215" i="21"/>
  <c r="M215" i="21" s="1"/>
  <c r="M214" i="21"/>
  <c r="J214" i="21"/>
  <c r="J213" i="21"/>
  <c r="M213" i="21" s="1"/>
  <c r="J212" i="21"/>
  <c r="M212" i="21" s="1"/>
  <c r="M211" i="21"/>
  <c r="J211" i="21"/>
  <c r="J210" i="21"/>
  <c r="M210" i="21" s="1"/>
  <c r="J209" i="21"/>
  <c r="M209" i="21" s="1"/>
  <c r="M208" i="21"/>
  <c r="J208" i="21"/>
  <c r="J207" i="21"/>
  <c r="M207" i="21" s="1"/>
  <c r="J206" i="21"/>
  <c r="M206" i="21" s="1"/>
  <c r="J205" i="21"/>
  <c r="M205" i="21" s="1"/>
  <c r="M204" i="21"/>
  <c r="J204" i="21"/>
  <c r="J203" i="21"/>
  <c r="M203" i="21" s="1"/>
  <c r="M202" i="21"/>
  <c r="J202" i="21"/>
  <c r="J201" i="21"/>
  <c r="M201" i="21" s="1"/>
  <c r="M200" i="21"/>
  <c r="J200" i="21"/>
  <c r="M199" i="21"/>
  <c r="J199" i="21"/>
  <c r="J198" i="21"/>
  <c r="M198" i="21" s="1"/>
  <c r="J197" i="21"/>
  <c r="M197" i="21" s="1"/>
  <c r="J196" i="21"/>
  <c r="M196" i="21" s="1"/>
  <c r="M195" i="21"/>
  <c r="J195" i="21"/>
  <c r="J194" i="21"/>
  <c r="M194" i="21" s="1"/>
  <c r="J193" i="21"/>
  <c r="M193" i="21" s="1"/>
  <c r="M192" i="21"/>
  <c r="J192" i="21"/>
  <c r="M191" i="21"/>
  <c r="J191" i="21"/>
  <c r="M190" i="21"/>
  <c r="J190" i="21"/>
  <c r="J189" i="21"/>
  <c r="M189" i="21" s="1"/>
  <c r="M188" i="21"/>
  <c r="J188" i="21"/>
  <c r="J187" i="21"/>
  <c r="M187" i="21" s="1"/>
  <c r="M186" i="21"/>
  <c r="J186" i="21"/>
  <c r="J185" i="21"/>
  <c r="M185" i="21" s="1"/>
  <c r="M184" i="21"/>
  <c r="J184" i="21"/>
  <c r="J183" i="21"/>
  <c r="M183" i="21" s="1"/>
  <c r="M182" i="21"/>
  <c r="J182" i="21"/>
  <c r="J181" i="21"/>
  <c r="M181" i="21" s="1"/>
  <c r="M180" i="21"/>
  <c r="J180" i="21"/>
  <c r="J179" i="21"/>
  <c r="M179" i="21" s="1"/>
  <c r="M178" i="21"/>
  <c r="J178" i="21"/>
  <c r="J177" i="21"/>
  <c r="M177" i="21" s="1"/>
  <c r="M176" i="21"/>
  <c r="J176" i="21"/>
  <c r="J175" i="21"/>
  <c r="M175" i="21" s="1"/>
  <c r="M174" i="21"/>
  <c r="J174" i="21"/>
  <c r="J173" i="21"/>
  <c r="M173" i="21" s="1"/>
  <c r="M172" i="21"/>
  <c r="J172" i="21"/>
  <c r="J171" i="21"/>
  <c r="M171" i="21" s="1"/>
  <c r="M170" i="21"/>
  <c r="J170" i="21"/>
  <c r="J169" i="21"/>
  <c r="M169" i="21" s="1"/>
  <c r="M168" i="21"/>
  <c r="J168" i="21"/>
  <c r="J167" i="21"/>
  <c r="M167" i="21" s="1"/>
  <c r="M166" i="21"/>
  <c r="J166" i="21"/>
  <c r="J165" i="21"/>
  <c r="M165" i="21" s="1"/>
  <c r="M164" i="21"/>
  <c r="J164" i="21"/>
  <c r="J163" i="21"/>
  <c r="M163" i="21" s="1"/>
  <c r="M162" i="21"/>
  <c r="J162" i="21"/>
  <c r="J161" i="21"/>
  <c r="M161" i="21" s="1"/>
  <c r="M160" i="21"/>
  <c r="J160" i="21"/>
  <c r="J159" i="21"/>
  <c r="M159" i="21" s="1"/>
  <c r="M158" i="21"/>
  <c r="J158" i="21"/>
  <c r="J157" i="21"/>
  <c r="M157" i="21" s="1"/>
  <c r="M156" i="21"/>
  <c r="J156" i="21"/>
  <c r="J155" i="21"/>
  <c r="M155" i="21" s="1"/>
  <c r="M154" i="21"/>
  <c r="J154" i="21"/>
  <c r="J153" i="21"/>
  <c r="M153" i="21" s="1"/>
  <c r="M152" i="21"/>
  <c r="J152" i="21"/>
  <c r="J151" i="21"/>
  <c r="M151" i="21" s="1"/>
  <c r="M150" i="21"/>
  <c r="J150" i="21"/>
  <c r="J149" i="21"/>
  <c r="M149" i="21" s="1"/>
  <c r="M148" i="21"/>
  <c r="J148" i="21"/>
  <c r="J147" i="21"/>
  <c r="M147" i="21" s="1"/>
  <c r="J146" i="21"/>
  <c r="M146" i="21" s="1"/>
  <c r="M145" i="21"/>
  <c r="J145" i="21"/>
  <c r="J144" i="21"/>
  <c r="M144" i="21" s="1"/>
  <c r="J143" i="21"/>
  <c r="M143" i="21" s="1"/>
  <c r="J142" i="21"/>
  <c r="M142" i="21" s="1"/>
  <c r="J141" i="21"/>
  <c r="M141" i="21" s="1"/>
  <c r="M140" i="21"/>
  <c r="J140" i="21"/>
  <c r="J139" i="21"/>
  <c r="M139" i="21" s="1"/>
  <c r="J138" i="21"/>
  <c r="M138" i="21" s="1"/>
  <c r="M137" i="21"/>
  <c r="J137" i="21"/>
  <c r="J136" i="21"/>
  <c r="M136" i="21" s="1"/>
  <c r="J135" i="21"/>
  <c r="M135" i="21" s="1"/>
  <c r="J134" i="21"/>
  <c r="M134" i="21" s="1"/>
  <c r="J133" i="21"/>
  <c r="M133" i="21" s="1"/>
  <c r="M132" i="21"/>
  <c r="J132" i="21"/>
  <c r="J131" i="21"/>
  <c r="M131" i="21" s="1"/>
  <c r="J130" i="21"/>
  <c r="M130" i="21" s="1"/>
  <c r="M129" i="21"/>
  <c r="J129" i="21"/>
  <c r="J128" i="21"/>
  <c r="M128" i="21" s="1"/>
  <c r="J127" i="21"/>
  <c r="M127" i="21" s="1"/>
  <c r="J126" i="21"/>
  <c r="M126" i="21" s="1"/>
  <c r="J125" i="21"/>
  <c r="M125" i="21" s="1"/>
  <c r="M124" i="21"/>
  <c r="J124" i="21"/>
  <c r="J123" i="21"/>
  <c r="M123" i="21" s="1"/>
  <c r="J122" i="21"/>
  <c r="M122" i="21" s="1"/>
  <c r="M121" i="21"/>
  <c r="J121" i="21"/>
  <c r="J120" i="21"/>
  <c r="M120" i="21" s="1"/>
  <c r="J119" i="21"/>
  <c r="M119" i="21" s="1"/>
  <c r="J118" i="21"/>
  <c r="M118" i="21" s="1"/>
  <c r="J117" i="21"/>
  <c r="M117" i="21" s="1"/>
  <c r="M116" i="21"/>
  <c r="J116" i="21"/>
  <c r="J115" i="21"/>
  <c r="M115" i="21" s="1"/>
  <c r="J114" i="21"/>
  <c r="M114" i="21" s="1"/>
  <c r="M113" i="21"/>
  <c r="J113" i="21"/>
  <c r="J112" i="21"/>
  <c r="M112" i="21" s="1"/>
  <c r="J111" i="21"/>
  <c r="M111" i="21" s="1"/>
  <c r="J110" i="21"/>
  <c r="M110" i="21" s="1"/>
  <c r="J109" i="21"/>
  <c r="M109" i="21" s="1"/>
  <c r="M108" i="21"/>
  <c r="J108" i="21"/>
  <c r="J107" i="21"/>
  <c r="M107" i="21" s="1"/>
  <c r="J106" i="21"/>
  <c r="M106" i="21" s="1"/>
  <c r="J105" i="21"/>
  <c r="M105" i="21" s="1"/>
  <c r="M104" i="21"/>
  <c r="J104" i="21"/>
  <c r="J103" i="21"/>
  <c r="M103" i="21" s="1"/>
  <c r="J102" i="21"/>
  <c r="M102" i="21" s="1"/>
  <c r="M101" i="21"/>
  <c r="J101" i="21"/>
  <c r="J100" i="21"/>
  <c r="M100" i="21" s="1"/>
  <c r="J99" i="21"/>
  <c r="M99" i="21" s="1"/>
  <c r="M98" i="21"/>
  <c r="J98" i="21"/>
  <c r="J97" i="21"/>
  <c r="M97" i="21" s="1"/>
  <c r="J96" i="21"/>
  <c r="M96" i="21" s="1"/>
  <c r="J95" i="21"/>
  <c r="M95" i="21" s="1"/>
  <c r="M94" i="21"/>
  <c r="J94" i="21"/>
  <c r="J93" i="21"/>
  <c r="M93" i="21" s="1"/>
  <c r="M92" i="21"/>
  <c r="J92" i="21"/>
  <c r="J91" i="21"/>
  <c r="M91" i="21" s="1"/>
  <c r="M90" i="21"/>
  <c r="J90" i="21"/>
  <c r="J89" i="21"/>
  <c r="M89" i="21" s="1"/>
  <c r="J88" i="21"/>
  <c r="M88" i="21" s="1"/>
  <c r="J87" i="21"/>
  <c r="M87" i="21" s="1"/>
  <c r="J86" i="21"/>
  <c r="M86" i="21" s="1"/>
  <c r="J85" i="21"/>
  <c r="M85" i="21" s="1"/>
  <c r="M84" i="21"/>
  <c r="J84" i="21"/>
  <c r="J83" i="21"/>
  <c r="M83" i="21" s="1"/>
  <c r="J82" i="21"/>
  <c r="M82" i="21" s="1"/>
  <c r="J81" i="21"/>
  <c r="M81" i="21" s="1"/>
  <c r="J80" i="21"/>
  <c r="M80" i="21" s="1"/>
  <c r="J79" i="21"/>
  <c r="M79" i="21" s="1"/>
  <c r="M78" i="21"/>
  <c r="J78" i="21"/>
  <c r="J77" i="21"/>
  <c r="M77" i="21" s="1"/>
  <c r="M76" i="21"/>
  <c r="J76" i="21"/>
  <c r="J75" i="21"/>
  <c r="M75" i="21" s="1"/>
  <c r="M74" i="21"/>
  <c r="J74" i="21"/>
  <c r="J73" i="21"/>
  <c r="M73" i="21" s="1"/>
  <c r="J72" i="21"/>
  <c r="M72" i="21" s="1"/>
  <c r="J71" i="21"/>
  <c r="M71" i="21" s="1"/>
  <c r="J70" i="21"/>
  <c r="M70" i="21" s="1"/>
  <c r="J69" i="21"/>
  <c r="M69" i="21" s="1"/>
  <c r="M68" i="21"/>
  <c r="J68" i="21"/>
  <c r="J67" i="21"/>
  <c r="M67" i="21" s="1"/>
  <c r="J66" i="21"/>
  <c r="M66" i="21" s="1"/>
  <c r="J65" i="21"/>
  <c r="M65" i="21" s="1"/>
  <c r="J64" i="21"/>
  <c r="M64" i="21" s="1"/>
  <c r="J63" i="21"/>
  <c r="M63" i="21" s="1"/>
  <c r="M62" i="21"/>
  <c r="J62" i="21"/>
  <c r="O61" i="21"/>
  <c r="N61" i="21"/>
  <c r="L61" i="21"/>
  <c r="K61" i="21"/>
  <c r="L60" i="21"/>
  <c r="O60" i="21" s="1"/>
  <c r="K60" i="21"/>
  <c r="N60" i="21" s="1"/>
  <c r="O59" i="21"/>
  <c r="L59" i="21"/>
  <c r="K59" i="21"/>
  <c r="N59" i="21" s="1"/>
  <c r="L58" i="21"/>
  <c r="O58" i="21" s="1"/>
  <c r="K58" i="21"/>
  <c r="N58" i="21" s="1"/>
  <c r="O57" i="21"/>
  <c r="N57" i="21"/>
  <c r="L57" i="21"/>
  <c r="K57" i="21"/>
  <c r="N56" i="21"/>
  <c r="L56" i="21"/>
  <c r="O56" i="21" s="1"/>
  <c r="K56" i="21"/>
  <c r="N55" i="21"/>
  <c r="L55" i="21"/>
  <c r="O55" i="21" s="1"/>
  <c r="K55" i="21"/>
  <c r="L54" i="21"/>
  <c r="O54" i="21" s="1"/>
  <c r="K54" i="21"/>
  <c r="N54" i="21" s="1"/>
  <c r="L53" i="21"/>
  <c r="O53" i="21" s="1"/>
  <c r="K53" i="21"/>
  <c r="N53" i="21" s="1"/>
  <c r="N52" i="21"/>
  <c r="L52" i="21"/>
  <c r="O52" i="21" s="1"/>
  <c r="K52" i="21"/>
  <c r="O51" i="21"/>
  <c r="L51" i="21"/>
  <c r="K51" i="21"/>
  <c r="N51" i="21" s="1"/>
  <c r="N50" i="21"/>
  <c r="L50" i="21"/>
  <c r="O50" i="21" s="1"/>
  <c r="K50" i="21"/>
  <c r="J49" i="21"/>
  <c r="M49" i="21" s="1"/>
  <c r="M48" i="21"/>
  <c r="J48" i="21"/>
  <c r="J47" i="21"/>
  <c r="M47" i="21" s="1"/>
  <c r="M46" i="21"/>
  <c r="J46" i="21"/>
  <c r="J45" i="21"/>
  <c r="M45" i="21" s="1"/>
  <c r="J44" i="21"/>
  <c r="M44" i="21" s="1"/>
  <c r="J43" i="21"/>
  <c r="M43" i="21" s="1"/>
  <c r="J42" i="21"/>
  <c r="M42" i="21" s="1"/>
  <c r="J41" i="21"/>
  <c r="M41" i="21" s="1"/>
  <c r="M40" i="21"/>
  <c r="J40" i="21"/>
  <c r="J39" i="21"/>
  <c r="M39" i="21" s="1"/>
  <c r="J38" i="21"/>
  <c r="M38" i="21" s="1"/>
  <c r="J37" i="21"/>
  <c r="M37" i="21" s="1"/>
  <c r="J36" i="21"/>
  <c r="M36" i="21" s="1"/>
  <c r="J35" i="21"/>
  <c r="M35" i="21" s="1"/>
  <c r="M34" i="21"/>
  <c r="J34" i="21"/>
  <c r="J33" i="21"/>
  <c r="M33" i="21" s="1"/>
  <c r="M32" i="21"/>
  <c r="J32" i="21"/>
  <c r="J31" i="21"/>
  <c r="M31" i="21" s="1"/>
  <c r="M30" i="21"/>
  <c r="J30" i="21"/>
  <c r="J29" i="21"/>
  <c r="M29" i="21" s="1"/>
  <c r="J28" i="21"/>
  <c r="M28" i="21" s="1"/>
  <c r="J27" i="21"/>
  <c r="M27" i="21" s="1"/>
  <c r="J26" i="21"/>
  <c r="M26" i="21" s="1"/>
  <c r="O25" i="21"/>
  <c r="N25" i="21"/>
  <c r="L25" i="21"/>
  <c r="K25" i="21"/>
  <c r="N24" i="21"/>
  <c r="L24" i="21"/>
  <c r="O24" i="21" s="1"/>
  <c r="K24" i="21"/>
  <c r="N23" i="21"/>
  <c r="L23" i="21"/>
  <c r="O23" i="21" s="1"/>
  <c r="K23" i="21"/>
  <c r="L22" i="21"/>
  <c r="O22" i="21" s="1"/>
  <c r="K22" i="21"/>
  <c r="N22" i="21" s="1"/>
  <c r="L21" i="21"/>
  <c r="O21" i="21" s="1"/>
  <c r="K21" i="21"/>
  <c r="N21" i="21" s="1"/>
  <c r="N20" i="21"/>
  <c r="L20" i="21"/>
  <c r="O20" i="21" s="1"/>
  <c r="K20" i="21"/>
  <c r="O19" i="21"/>
  <c r="L19" i="21"/>
  <c r="K19" i="21"/>
  <c r="N19" i="21" s="1"/>
  <c r="N18" i="21"/>
  <c r="L18" i="21"/>
  <c r="O18" i="21" s="1"/>
  <c r="K18" i="21"/>
  <c r="L17" i="21"/>
  <c r="O17" i="21" s="1"/>
  <c r="K17" i="21"/>
  <c r="N17" i="21" s="1"/>
  <c r="L16" i="21"/>
  <c r="O16" i="21" s="1"/>
  <c r="K16" i="21"/>
  <c r="N16" i="21" s="1"/>
  <c r="O15" i="21"/>
  <c r="L15" i="21"/>
  <c r="K15" i="21"/>
  <c r="N15" i="21" s="1"/>
  <c r="N14" i="21"/>
  <c r="L14" i="21"/>
  <c r="O14" i="21" s="1"/>
  <c r="K14" i="21"/>
  <c r="J13" i="21"/>
  <c r="M13" i="21" s="1"/>
  <c r="M12" i="21"/>
  <c r="J12" i="21"/>
  <c r="M11" i="21"/>
  <c r="J11" i="21"/>
  <c r="J10" i="21"/>
  <c r="M10" i="21" s="1"/>
  <c r="J9" i="21"/>
  <c r="M9" i="21" s="1"/>
  <c r="M8" i="21"/>
  <c r="J8" i="21"/>
  <c r="M7" i="21"/>
  <c r="J7" i="21"/>
  <c r="J6" i="21"/>
  <c r="M6" i="21" s="1"/>
  <c r="J5" i="21"/>
  <c r="M5" i="21" s="1"/>
  <c r="M4" i="21"/>
  <c r="J4" i="21"/>
  <c r="M3" i="21"/>
  <c r="J3" i="21"/>
  <c r="J2" i="21"/>
  <c r="M2" i="21" s="1"/>
  <c r="X379" i="16"/>
  <c r="W379" i="16"/>
  <c r="X378" i="16"/>
  <c r="AD378" i="16" s="1"/>
  <c r="W378" i="16"/>
  <c r="X377" i="16"/>
  <c r="W377" i="16"/>
  <c r="X376" i="16"/>
  <c r="W376" i="16"/>
  <c r="X375" i="16"/>
  <c r="W375" i="16"/>
  <c r="X374" i="16"/>
  <c r="AD374" i="16" s="1"/>
  <c r="W374" i="16"/>
  <c r="X373" i="16"/>
  <c r="W373" i="16"/>
  <c r="X372" i="16"/>
  <c r="W372" i="16"/>
  <c r="X371" i="16"/>
  <c r="W371" i="16"/>
  <c r="X370" i="16"/>
  <c r="AD370" i="16" s="1"/>
  <c r="W370" i="16"/>
  <c r="X369" i="16"/>
  <c r="W369" i="16"/>
  <c r="X368" i="16"/>
  <c r="W368" i="16"/>
  <c r="AD164" i="17"/>
  <c r="X164" i="17"/>
  <c r="W164" i="17"/>
  <c r="AD163" i="17"/>
  <c r="X163" i="17"/>
  <c r="W163" i="17"/>
  <c r="AC163" i="17" s="1"/>
  <c r="AD162" i="17"/>
  <c r="X162" i="17"/>
  <c r="W162" i="17"/>
  <c r="AD161" i="17"/>
  <c r="X161" i="17"/>
  <c r="W161" i="17"/>
  <c r="AC161" i="17" s="1"/>
  <c r="AD160" i="17"/>
  <c r="X160" i="17"/>
  <c r="W160" i="17"/>
  <c r="AD159" i="17"/>
  <c r="X159" i="17"/>
  <c r="W159" i="17"/>
  <c r="AC159" i="17" s="1"/>
  <c r="AD158" i="17"/>
  <c r="X158" i="17"/>
  <c r="W158" i="17"/>
  <c r="AD157" i="17"/>
  <c r="X157" i="17"/>
  <c r="W157" i="17"/>
  <c r="AC157" i="17" s="1"/>
  <c r="AD156" i="17"/>
  <c r="X156" i="17"/>
  <c r="W156" i="17"/>
  <c r="AD155" i="17"/>
  <c r="X155" i="17"/>
  <c r="W155" i="17"/>
  <c r="AC155" i="17" s="1"/>
  <c r="AD154" i="17"/>
  <c r="X154" i="17"/>
  <c r="W154" i="17"/>
  <c r="AD153" i="17"/>
  <c r="AD11" i="21" s="1"/>
  <c r="X153" i="17"/>
  <c r="W153" i="17"/>
  <c r="AC153" i="17" s="1"/>
  <c r="M40" i="5"/>
  <c r="M39" i="5"/>
  <c r="M38" i="5"/>
  <c r="AJ9" i="17"/>
  <c r="AI9" i="17"/>
  <c r="AJ4" i="17"/>
  <c r="AI4" i="17"/>
  <c r="AJ3" i="17"/>
  <c r="AI3" i="17"/>
  <c r="AJ2" i="17"/>
  <c r="AI2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AD37" i="17"/>
  <c r="AD36" i="17"/>
  <c r="AD35" i="17"/>
  <c r="AD34" i="17"/>
  <c r="AD33" i="17"/>
  <c r="AD32" i="17"/>
  <c r="AD31" i="17"/>
  <c r="AD30" i="17"/>
  <c r="AD29" i="17"/>
  <c r="AD28" i="17"/>
  <c r="AD27" i="17"/>
  <c r="AD26" i="17"/>
  <c r="AD25" i="17"/>
  <c r="AD24" i="17"/>
  <c r="AD23" i="17"/>
  <c r="AD22" i="17"/>
  <c r="AD21" i="17"/>
  <c r="AD20" i="17"/>
  <c r="AD19" i="17"/>
  <c r="AD18" i="17"/>
  <c r="AD17" i="17"/>
  <c r="AD16" i="17"/>
  <c r="AD15" i="17"/>
  <c r="AD14" i="17"/>
  <c r="AD13" i="17"/>
  <c r="AD12" i="17"/>
  <c r="AD11" i="17"/>
  <c r="AD10" i="17"/>
  <c r="AD9" i="17"/>
  <c r="AD8" i="17"/>
  <c r="AD7" i="17"/>
  <c r="AD6" i="17"/>
  <c r="AD5" i="17"/>
  <c r="AD4" i="17"/>
  <c r="AD3" i="17"/>
  <c r="AD2" i="17"/>
  <c r="AD9" i="21" s="1"/>
  <c r="V164" i="17"/>
  <c r="AB164" i="17" s="1"/>
  <c r="V163" i="17"/>
  <c r="AB163" i="17" s="1"/>
  <c r="V162" i="17"/>
  <c r="AB162" i="17" s="1"/>
  <c r="V161" i="17"/>
  <c r="AB161" i="17" s="1"/>
  <c r="V160" i="17"/>
  <c r="AB160" i="17" s="1"/>
  <c r="V159" i="17"/>
  <c r="AB159" i="17" s="1"/>
  <c r="V158" i="17"/>
  <c r="AB158" i="17" s="1"/>
  <c r="V157" i="17"/>
  <c r="AB157" i="17" s="1"/>
  <c r="V156" i="17"/>
  <c r="AB156" i="17" s="1"/>
  <c r="V155" i="17"/>
  <c r="AB155" i="17" s="1"/>
  <c r="V154" i="17"/>
  <c r="AB154" i="17" s="1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V67" i="17"/>
  <c r="AB67" i="17" s="1"/>
  <c r="X66" i="17"/>
  <c r="W66" i="17"/>
  <c r="V66" i="17"/>
  <c r="AB66" i="17" s="1"/>
  <c r="X65" i="17"/>
  <c r="W65" i="17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V51" i="17"/>
  <c r="AB51" i="17" s="1"/>
  <c r="X50" i="17"/>
  <c r="W50" i="17"/>
  <c r="V50" i="17"/>
  <c r="AB50" i="17" s="1"/>
  <c r="X49" i="17"/>
  <c r="W49" i="17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X37" i="17"/>
  <c r="W37" i="17"/>
  <c r="V37" i="17"/>
  <c r="AB37" i="17" s="1"/>
  <c r="X36" i="17"/>
  <c r="W36" i="17"/>
  <c r="V36" i="17"/>
  <c r="AB36" i="17" s="1"/>
  <c r="X35" i="17"/>
  <c r="W35" i="17"/>
  <c r="V35" i="17"/>
  <c r="AB35" i="17" s="1"/>
  <c r="X34" i="17"/>
  <c r="W34" i="17"/>
  <c r="V34" i="17"/>
  <c r="AB34" i="17" s="1"/>
  <c r="X33" i="17"/>
  <c r="W33" i="17"/>
  <c r="V33" i="17"/>
  <c r="AB33" i="17" s="1"/>
  <c r="X32" i="17"/>
  <c r="W32" i="17"/>
  <c r="V32" i="17"/>
  <c r="AB32" i="17" s="1"/>
  <c r="X31" i="17"/>
  <c r="W31" i="17"/>
  <c r="V31" i="17"/>
  <c r="AB31" i="17" s="1"/>
  <c r="X30" i="17"/>
  <c r="W30" i="17"/>
  <c r="V30" i="17"/>
  <c r="AB30" i="17" s="1"/>
  <c r="X29" i="17"/>
  <c r="W29" i="17"/>
  <c r="V29" i="17"/>
  <c r="AB29" i="17" s="1"/>
  <c r="X28" i="17"/>
  <c r="W28" i="17"/>
  <c r="V28" i="17"/>
  <c r="AB28" i="17" s="1"/>
  <c r="X27" i="17"/>
  <c r="W27" i="17"/>
  <c r="V27" i="17"/>
  <c r="AB27" i="17" s="1"/>
  <c r="X26" i="17"/>
  <c r="W26" i="17"/>
  <c r="V26" i="17"/>
  <c r="AB26" i="17" s="1"/>
  <c r="X25" i="17"/>
  <c r="W25" i="17"/>
  <c r="AC25" i="17" s="1"/>
  <c r="V25" i="17"/>
  <c r="AB25" i="17" s="1"/>
  <c r="X24" i="17"/>
  <c r="W24" i="17"/>
  <c r="V24" i="17"/>
  <c r="AB24" i="17" s="1"/>
  <c r="X23" i="17"/>
  <c r="W23" i="17"/>
  <c r="V23" i="17"/>
  <c r="AB23" i="17" s="1"/>
  <c r="X22" i="17"/>
  <c r="W22" i="17"/>
  <c r="V22" i="17"/>
  <c r="AB22" i="17" s="1"/>
  <c r="X21" i="17"/>
  <c r="W21" i="17"/>
  <c r="V21" i="17"/>
  <c r="AB21" i="17" s="1"/>
  <c r="X20" i="17"/>
  <c r="W20" i="17"/>
  <c r="V20" i="17"/>
  <c r="AB20" i="17" s="1"/>
  <c r="X19" i="17"/>
  <c r="W19" i="17"/>
  <c r="V19" i="17"/>
  <c r="AB19" i="17" s="1"/>
  <c r="X18" i="17"/>
  <c r="W18" i="17"/>
  <c r="V18" i="17"/>
  <c r="AB18" i="17" s="1"/>
  <c r="X17" i="17"/>
  <c r="W17" i="17"/>
  <c r="V17" i="17"/>
  <c r="AB17" i="17" s="1"/>
  <c r="X16" i="17"/>
  <c r="W16" i="17"/>
  <c r="V16" i="17"/>
  <c r="AB16" i="17" s="1"/>
  <c r="X15" i="17"/>
  <c r="W15" i="17"/>
  <c r="V15" i="17"/>
  <c r="AB15" i="17" s="1"/>
  <c r="X14" i="17"/>
  <c r="W14" i="17"/>
  <c r="V14" i="17"/>
  <c r="AB14" i="17" s="1"/>
  <c r="X13" i="17"/>
  <c r="W13" i="17"/>
  <c r="V13" i="17"/>
  <c r="AB13" i="17" s="1"/>
  <c r="X12" i="17"/>
  <c r="W12" i="17"/>
  <c r="V12" i="17"/>
  <c r="AB12" i="17" s="1"/>
  <c r="X11" i="17"/>
  <c r="W11" i="17"/>
  <c r="V11" i="17"/>
  <c r="AB11" i="17" s="1"/>
  <c r="X10" i="17"/>
  <c r="W10" i="17"/>
  <c r="V10" i="17"/>
  <c r="AB10" i="17" s="1"/>
  <c r="X9" i="17"/>
  <c r="W9" i="17"/>
  <c r="V9" i="17"/>
  <c r="AB9" i="17" s="1"/>
  <c r="X8" i="17"/>
  <c r="W8" i="17"/>
  <c r="V8" i="17"/>
  <c r="AB8" i="17" s="1"/>
  <c r="X7" i="17"/>
  <c r="W7" i="17"/>
  <c r="V7" i="17"/>
  <c r="AB7" i="17" s="1"/>
  <c r="X6" i="17"/>
  <c r="W6" i="17"/>
  <c r="V6" i="17"/>
  <c r="AB6" i="17" s="1"/>
  <c r="X5" i="17"/>
  <c r="W5" i="17"/>
  <c r="V5" i="17"/>
  <c r="AB5" i="17" s="1"/>
  <c r="X4" i="17"/>
  <c r="W4" i="17"/>
  <c r="V4" i="17"/>
  <c r="AB4" i="17" s="1"/>
  <c r="X3" i="17"/>
  <c r="W3" i="17"/>
  <c r="V3" i="17"/>
  <c r="AB3" i="17" s="1"/>
  <c r="X2" i="17"/>
  <c r="W2" i="17"/>
  <c r="V2" i="17"/>
  <c r="AB2" i="17" s="1"/>
  <c r="AE391" i="16"/>
  <c r="AD391" i="16"/>
  <c r="AE390" i="16"/>
  <c r="AE389" i="16"/>
  <c r="AE388" i="16"/>
  <c r="AE387" i="16"/>
  <c r="AE386" i="16"/>
  <c r="AE385" i="16"/>
  <c r="AE384" i="16"/>
  <c r="AE383" i="16"/>
  <c r="AE382" i="16"/>
  <c r="AE381" i="16"/>
  <c r="AD381" i="16"/>
  <c r="AE380" i="16"/>
  <c r="AA12" i="21" s="1"/>
  <c r="AE379" i="16"/>
  <c r="AD379" i="16"/>
  <c r="AC379" i="16"/>
  <c r="AE378" i="16"/>
  <c r="AC378" i="16"/>
  <c r="AE377" i="16"/>
  <c r="AD377" i="16"/>
  <c r="AC377" i="16"/>
  <c r="AE376" i="16"/>
  <c r="AD376" i="16"/>
  <c r="AC376" i="16"/>
  <c r="AE375" i="16"/>
  <c r="AD375" i="16"/>
  <c r="AC375" i="16"/>
  <c r="AE374" i="16"/>
  <c r="AC374" i="16"/>
  <c r="AE373" i="16"/>
  <c r="AD373" i="16"/>
  <c r="AC373" i="16"/>
  <c r="AE372" i="16"/>
  <c r="AD372" i="16"/>
  <c r="AC372" i="16"/>
  <c r="AE371" i="16"/>
  <c r="AD371" i="16"/>
  <c r="AC371" i="16"/>
  <c r="AE370" i="16"/>
  <c r="AC370" i="16"/>
  <c r="AE369" i="16"/>
  <c r="AD369" i="16"/>
  <c r="AC369" i="16"/>
  <c r="AE368" i="16"/>
  <c r="AD368" i="16"/>
  <c r="AC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C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E133" i="16"/>
  <c r="AE132" i="16"/>
  <c r="AE131" i="16"/>
  <c r="AE130" i="16"/>
  <c r="AE129" i="16"/>
  <c r="AE128" i="16"/>
  <c r="AE127" i="16"/>
  <c r="AE126" i="16"/>
  <c r="AE125" i="16"/>
  <c r="AE124" i="16"/>
  <c r="AE123" i="16"/>
  <c r="AE122" i="16"/>
  <c r="AE121" i="16"/>
  <c r="AE120" i="16"/>
  <c r="AE119" i="16"/>
  <c r="AE118" i="16"/>
  <c r="AE117" i="16"/>
  <c r="AE116" i="16"/>
  <c r="AE115" i="16"/>
  <c r="AE114" i="16"/>
  <c r="AE113" i="16"/>
  <c r="AE112" i="16"/>
  <c r="AE111" i="16"/>
  <c r="AE110" i="16"/>
  <c r="AE109" i="16"/>
  <c r="AE108" i="16"/>
  <c r="AE107" i="16"/>
  <c r="AE106" i="16"/>
  <c r="AE105" i="16"/>
  <c r="AE104" i="16"/>
  <c r="AE103" i="16"/>
  <c r="AE102" i="16"/>
  <c r="AE101" i="16"/>
  <c r="AE100" i="16"/>
  <c r="AE99" i="16"/>
  <c r="AE98" i="16"/>
  <c r="AE97" i="16"/>
  <c r="AE96" i="16"/>
  <c r="AE95" i="16"/>
  <c r="AE94" i="16"/>
  <c r="AE93" i="16"/>
  <c r="AE92" i="16"/>
  <c r="AE91" i="16"/>
  <c r="AE90" i="16"/>
  <c r="AE89" i="16"/>
  <c r="AE88" i="16"/>
  <c r="AE87" i="16"/>
  <c r="AE86" i="16"/>
  <c r="AE85" i="16"/>
  <c r="AE84" i="16"/>
  <c r="AE83" i="16"/>
  <c r="AE82" i="16"/>
  <c r="AE81" i="16"/>
  <c r="AE80" i="16"/>
  <c r="AE79" i="16"/>
  <c r="AE78" i="16"/>
  <c r="AE77" i="16"/>
  <c r="AE76" i="16"/>
  <c r="AE75" i="16"/>
  <c r="AE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G61" i="16"/>
  <c r="AF61" i="16"/>
  <c r="AG60" i="16"/>
  <c r="AF60" i="16"/>
  <c r="AG59" i="16"/>
  <c r="AF59" i="16"/>
  <c r="AG58" i="16"/>
  <c r="AF58" i="16"/>
  <c r="AG57" i="16"/>
  <c r="AF57" i="16"/>
  <c r="AG56" i="16"/>
  <c r="AF56" i="16"/>
  <c r="AG55" i="16"/>
  <c r="AF55" i="16"/>
  <c r="AG54" i="16"/>
  <c r="AF54" i="16"/>
  <c r="AG53" i="16"/>
  <c r="AF53" i="16"/>
  <c r="AG52" i="16"/>
  <c r="AF52" i="16"/>
  <c r="AG51" i="16"/>
  <c r="AF51" i="16"/>
  <c r="AG50" i="16"/>
  <c r="AF50" i="16"/>
  <c r="AE49" i="16"/>
  <c r="AE48" i="16"/>
  <c r="AE47" i="16"/>
  <c r="AE46" i="16"/>
  <c r="AE45" i="16"/>
  <c r="AE44" i="16"/>
  <c r="AE43" i="16"/>
  <c r="AE42" i="16"/>
  <c r="AE41" i="16"/>
  <c r="AE40" i="16"/>
  <c r="AE39" i="16"/>
  <c r="AE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AG25" i="16"/>
  <c r="AF25" i="16"/>
  <c r="AG24" i="16"/>
  <c r="AF24" i="16"/>
  <c r="AG23" i="16"/>
  <c r="AF23" i="16"/>
  <c r="AG22" i="16"/>
  <c r="AF22" i="16"/>
  <c r="AG21" i="16"/>
  <c r="AF21" i="16"/>
  <c r="AG20" i="16"/>
  <c r="AF20" i="16"/>
  <c r="AG19" i="16"/>
  <c r="AF19" i="16"/>
  <c r="AG18" i="16"/>
  <c r="AF18" i="16"/>
  <c r="AG17" i="16"/>
  <c r="AF17" i="16"/>
  <c r="AG16" i="16"/>
  <c r="AF16" i="16"/>
  <c r="AG15" i="16"/>
  <c r="AF15" i="16"/>
  <c r="AG14" i="16"/>
  <c r="AF14" i="16"/>
  <c r="AE13" i="16"/>
  <c r="AE12" i="16"/>
  <c r="AE11" i="16"/>
  <c r="AE10" i="16"/>
  <c r="AE9" i="16"/>
  <c r="AE8" i="16"/>
  <c r="AE7" i="16"/>
  <c r="AE6" i="16"/>
  <c r="AE5" i="16"/>
  <c r="AE4" i="16"/>
  <c r="AE3" i="16"/>
  <c r="AE2" i="16"/>
  <c r="X391" i="16"/>
  <c r="W391" i="16"/>
  <c r="AC391" i="16" s="1"/>
  <c r="V391" i="16"/>
  <c r="AB391" i="16" s="1"/>
  <c r="X390" i="16"/>
  <c r="AD390" i="16" s="1"/>
  <c r="W390" i="16"/>
  <c r="AC390" i="16" s="1"/>
  <c r="V390" i="16"/>
  <c r="AB390" i="16" s="1"/>
  <c r="X389" i="16"/>
  <c r="AD389" i="16" s="1"/>
  <c r="W389" i="16"/>
  <c r="AC389" i="16" s="1"/>
  <c r="V389" i="16"/>
  <c r="AB389" i="16" s="1"/>
  <c r="X388" i="16"/>
  <c r="AD388" i="16" s="1"/>
  <c r="W388" i="16"/>
  <c r="AC388" i="16" s="1"/>
  <c r="V388" i="16"/>
  <c r="AB388" i="16" s="1"/>
  <c r="X387" i="16"/>
  <c r="AD387" i="16" s="1"/>
  <c r="W387" i="16"/>
  <c r="AC387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W381" i="16"/>
  <c r="AC381" i="16" s="1"/>
  <c r="V381" i="16"/>
  <c r="AB381" i="16" s="1"/>
  <c r="X380" i="16"/>
  <c r="AD380" i="16" s="1"/>
  <c r="W380" i="16"/>
  <c r="AC380" i="16" s="1"/>
  <c r="V380" i="16"/>
  <c r="AB380" i="16" s="1"/>
  <c r="V379" i="16"/>
  <c r="AB379" i="16" s="1"/>
  <c r="V378" i="16"/>
  <c r="AB378" i="16" s="1"/>
  <c r="V377" i="16"/>
  <c r="AB377" i="16" s="1"/>
  <c r="V376" i="16"/>
  <c r="AB376" i="16" s="1"/>
  <c r="V375" i="16"/>
  <c r="AB375" i="16" s="1"/>
  <c r="V374" i="16"/>
  <c r="AB374" i="16" s="1"/>
  <c r="V373" i="16"/>
  <c r="AB373" i="16" s="1"/>
  <c r="V372" i="16"/>
  <c r="AB372" i="16" s="1"/>
  <c r="V371" i="16"/>
  <c r="AB371" i="16" s="1"/>
  <c r="V370" i="16"/>
  <c r="AB370" i="16" s="1"/>
  <c r="V369" i="16"/>
  <c r="AB369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X133" i="16"/>
  <c r="AD133" i="16" s="1"/>
  <c r="W133" i="16"/>
  <c r="AC133" i="16" s="1"/>
  <c r="V133" i="16"/>
  <c r="AB133" i="16" s="1"/>
  <c r="X132" i="16"/>
  <c r="AD132" i="16" s="1"/>
  <c r="W132" i="16"/>
  <c r="AC132" i="16" s="1"/>
  <c r="V132" i="16"/>
  <c r="AB132" i="16" s="1"/>
  <c r="X131" i="16"/>
  <c r="AD131" i="16" s="1"/>
  <c r="W131" i="16"/>
  <c r="AC131" i="16" s="1"/>
  <c r="V131" i="16"/>
  <c r="AB131" i="16" s="1"/>
  <c r="X130" i="16"/>
  <c r="AD130" i="16" s="1"/>
  <c r="W130" i="16"/>
  <c r="AC130" i="16" s="1"/>
  <c r="V130" i="16"/>
  <c r="AB130" i="16" s="1"/>
  <c r="X129" i="16"/>
  <c r="AD129" i="16" s="1"/>
  <c r="W129" i="16"/>
  <c r="AC129" i="16" s="1"/>
  <c r="V129" i="16"/>
  <c r="AB129" i="16" s="1"/>
  <c r="X128" i="16"/>
  <c r="AD128" i="16" s="1"/>
  <c r="W128" i="16"/>
  <c r="AC128" i="16" s="1"/>
  <c r="V128" i="16"/>
  <c r="AB128" i="16" s="1"/>
  <c r="X127" i="16"/>
  <c r="AD127" i="16" s="1"/>
  <c r="W127" i="16"/>
  <c r="AC127" i="16" s="1"/>
  <c r="V127" i="16"/>
  <c r="AB127" i="16" s="1"/>
  <c r="X126" i="16"/>
  <c r="AD126" i="16" s="1"/>
  <c r="W126" i="16"/>
  <c r="AC126" i="16" s="1"/>
  <c r="V126" i="16"/>
  <c r="AB126" i="16" s="1"/>
  <c r="X125" i="16"/>
  <c r="AD125" i="16" s="1"/>
  <c r="W125" i="16"/>
  <c r="AC125" i="16" s="1"/>
  <c r="V125" i="16"/>
  <c r="AB125" i="16" s="1"/>
  <c r="X124" i="16"/>
  <c r="AD124" i="16" s="1"/>
  <c r="W124" i="16"/>
  <c r="AC124" i="16" s="1"/>
  <c r="V124" i="16"/>
  <c r="AB124" i="16" s="1"/>
  <c r="X123" i="16"/>
  <c r="AD123" i="16" s="1"/>
  <c r="W123" i="16"/>
  <c r="AC123" i="16" s="1"/>
  <c r="V123" i="16"/>
  <c r="AB123" i="16" s="1"/>
  <c r="X122" i="16"/>
  <c r="AD122" i="16" s="1"/>
  <c r="W122" i="16"/>
  <c r="AC122" i="16" s="1"/>
  <c r="V122" i="16"/>
  <c r="AB122" i="16" s="1"/>
  <c r="X121" i="16"/>
  <c r="AD121" i="16" s="1"/>
  <c r="W121" i="16"/>
  <c r="AC121" i="16" s="1"/>
  <c r="V121" i="16"/>
  <c r="AB121" i="16" s="1"/>
  <c r="X120" i="16"/>
  <c r="AD120" i="16" s="1"/>
  <c r="W120" i="16"/>
  <c r="AC120" i="16" s="1"/>
  <c r="V120" i="16"/>
  <c r="AB120" i="16" s="1"/>
  <c r="X119" i="16"/>
  <c r="AD119" i="16" s="1"/>
  <c r="W119" i="16"/>
  <c r="AC119" i="16" s="1"/>
  <c r="V119" i="16"/>
  <c r="AB119" i="16" s="1"/>
  <c r="X118" i="16"/>
  <c r="AD118" i="16" s="1"/>
  <c r="W118" i="16"/>
  <c r="AC118" i="16" s="1"/>
  <c r="V118" i="16"/>
  <c r="AB118" i="16" s="1"/>
  <c r="X117" i="16"/>
  <c r="AD117" i="16" s="1"/>
  <c r="W117" i="16"/>
  <c r="AC117" i="16" s="1"/>
  <c r="V117" i="16"/>
  <c r="AB117" i="16" s="1"/>
  <c r="X116" i="16"/>
  <c r="AD116" i="16" s="1"/>
  <c r="W116" i="16"/>
  <c r="AC116" i="16" s="1"/>
  <c r="V116" i="16"/>
  <c r="AB116" i="16" s="1"/>
  <c r="X115" i="16"/>
  <c r="AD115" i="16" s="1"/>
  <c r="W115" i="16"/>
  <c r="AC115" i="16" s="1"/>
  <c r="V115" i="16"/>
  <c r="AB115" i="16" s="1"/>
  <c r="X114" i="16"/>
  <c r="AD114" i="16" s="1"/>
  <c r="W114" i="16"/>
  <c r="AC114" i="16" s="1"/>
  <c r="V114" i="16"/>
  <c r="AB114" i="16" s="1"/>
  <c r="X113" i="16"/>
  <c r="AD113" i="16" s="1"/>
  <c r="W113" i="16"/>
  <c r="AC113" i="16" s="1"/>
  <c r="V113" i="16"/>
  <c r="AB113" i="16" s="1"/>
  <c r="X112" i="16"/>
  <c r="AD112" i="16" s="1"/>
  <c r="W112" i="16"/>
  <c r="AC112" i="16" s="1"/>
  <c r="V112" i="16"/>
  <c r="AB112" i="16" s="1"/>
  <c r="X111" i="16"/>
  <c r="AD111" i="16" s="1"/>
  <c r="W111" i="16"/>
  <c r="AC111" i="16" s="1"/>
  <c r="V111" i="16"/>
  <c r="AB111" i="16" s="1"/>
  <c r="X110" i="16"/>
  <c r="AD110" i="16" s="1"/>
  <c r="W110" i="16"/>
  <c r="AC110" i="16" s="1"/>
  <c r="V110" i="16"/>
  <c r="AB110" i="16" s="1"/>
  <c r="X109" i="16"/>
  <c r="AD109" i="16" s="1"/>
  <c r="W109" i="16"/>
  <c r="AC109" i="16" s="1"/>
  <c r="V109" i="16"/>
  <c r="AB109" i="16" s="1"/>
  <c r="X108" i="16"/>
  <c r="AD108" i="16" s="1"/>
  <c r="W108" i="16"/>
  <c r="AC108" i="16" s="1"/>
  <c r="V108" i="16"/>
  <c r="AB108" i="16" s="1"/>
  <c r="X107" i="16"/>
  <c r="AD107" i="16" s="1"/>
  <c r="W107" i="16"/>
  <c r="AC107" i="16" s="1"/>
  <c r="V107" i="16"/>
  <c r="AB107" i="16" s="1"/>
  <c r="X106" i="16"/>
  <c r="AD106" i="16" s="1"/>
  <c r="W106" i="16"/>
  <c r="AC106" i="16" s="1"/>
  <c r="V106" i="16"/>
  <c r="AB106" i="16" s="1"/>
  <c r="X105" i="16"/>
  <c r="AD105" i="16" s="1"/>
  <c r="W105" i="16"/>
  <c r="AC105" i="16" s="1"/>
  <c r="V105" i="16"/>
  <c r="AB105" i="16" s="1"/>
  <c r="X104" i="16"/>
  <c r="AD104" i="16" s="1"/>
  <c r="W104" i="16"/>
  <c r="AC104" i="16" s="1"/>
  <c r="V104" i="16"/>
  <c r="AB104" i="16" s="1"/>
  <c r="X103" i="16"/>
  <c r="AD103" i="16" s="1"/>
  <c r="W103" i="16"/>
  <c r="AC103" i="16" s="1"/>
  <c r="V103" i="16"/>
  <c r="AB103" i="16" s="1"/>
  <c r="X102" i="16"/>
  <c r="AD102" i="16" s="1"/>
  <c r="W102" i="16"/>
  <c r="AC102" i="16" s="1"/>
  <c r="V102" i="16"/>
  <c r="AB102" i="16" s="1"/>
  <c r="X101" i="16"/>
  <c r="AD101" i="16" s="1"/>
  <c r="W101" i="16"/>
  <c r="AC101" i="16" s="1"/>
  <c r="V101" i="16"/>
  <c r="AB101" i="16" s="1"/>
  <c r="X100" i="16"/>
  <c r="AD100" i="16" s="1"/>
  <c r="W100" i="16"/>
  <c r="AC100" i="16" s="1"/>
  <c r="V100" i="16"/>
  <c r="AB100" i="16" s="1"/>
  <c r="X99" i="16"/>
  <c r="AD99" i="16" s="1"/>
  <c r="W99" i="16"/>
  <c r="AC99" i="16" s="1"/>
  <c r="V99" i="16"/>
  <c r="AB99" i="16" s="1"/>
  <c r="X98" i="16"/>
  <c r="AD98" i="16" s="1"/>
  <c r="W98" i="16"/>
  <c r="AC98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AO3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AA23" i="7" s="1"/>
  <c r="Z23" i="6"/>
  <c r="X23" i="6"/>
  <c r="W23" i="6"/>
  <c r="V23" i="6"/>
  <c r="U23" i="6"/>
  <c r="AD22" i="6"/>
  <c r="AB22" i="6"/>
  <c r="AA22" i="6"/>
  <c r="Z22" i="6"/>
  <c r="Y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AA19" i="7" s="1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AA11" i="7" s="1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AA7" i="7" s="1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Z51" i="7"/>
  <c r="AG50" i="7"/>
  <c r="AA50" i="7"/>
  <c r="Z50" i="7"/>
  <c r="AG49" i="7"/>
  <c r="Z49" i="7"/>
  <c r="AG48" i="7"/>
  <c r="AA48" i="7"/>
  <c r="Z48" i="7"/>
  <c r="AG47" i="7"/>
  <c r="Z47" i="7"/>
  <c r="AG46" i="7"/>
  <c r="AA46" i="7"/>
  <c r="Z46" i="7"/>
  <c r="AG45" i="7"/>
  <c r="Z45" i="7"/>
  <c r="AG44" i="7"/>
  <c r="AA44" i="7"/>
  <c r="Z44" i="7"/>
  <c r="AG43" i="7"/>
  <c r="Z43" i="7"/>
  <c r="AG42" i="7"/>
  <c r="AA42" i="7"/>
  <c r="Z42" i="7"/>
  <c r="AG41" i="7"/>
  <c r="Z41" i="7"/>
  <c r="AG40" i="7"/>
  <c r="AA40" i="7"/>
  <c r="Z40" i="7"/>
  <c r="AG39" i="7"/>
  <c r="Z39" i="7"/>
  <c r="AG38" i="7"/>
  <c r="AA38" i="7"/>
  <c r="Z38" i="7"/>
  <c r="AG37" i="7"/>
  <c r="Z37" i="7"/>
  <c r="AG36" i="7"/>
  <c r="AA36" i="7"/>
  <c r="Z36" i="7"/>
  <c r="AG35" i="7"/>
  <c r="Z35" i="7"/>
  <c r="AG34" i="7"/>
  <c r="AA34" i="7"/>
  <c r="Z34" i="7"/>
  <c r="AG33" i="7"/>
  <c r="Z33" i="7"/>
  <c r="AG32" i="7"/>
  <c r="AA32" i="7"/>
  <c r="Z32" i="7"/>
  <c r="AG31" i="7"/>
  <c r="Z31" i="7"/>
  <c r="AG30" i="7"/>
  <c r="AA30" i="7"/>
  <c r="Z30" i="7"/>
  <c r="AG29" i="7"/>
  <c r="Z29" i="7"/>
  <c r="AG28" i="7"/>
  <c r="AA28" i="7"/>
  <c r="Z28" i="7"/>
  <c r="AG27" i="7"/>
  <c r="Z27" i="7"/>
  <c r="AG26" i="7"/>
  <c r="AA26" i="7"/>
  <c r="Z26" i="7"/>
  <c r="AG25" i="7"/>
  <c r="Z25" i="7"/>
  <c r="AG24" i="7"/>
  <c r="AA24" i="7"/>
  <c r="Z24" i="7"/>
  <c r="AG23" i="7"/>
  <c r="Z23" i="7"/>
  <c r="AG22" i="7"/>
  <c r="AA22" i="7"/>
  <c r="Z22" i="7"/>
  <c r="AG21" i="7"/>
  <c r="Z21" i="7"/>
  <c r="AG20" i="7"/>
  <c r="AA20" i="7"/>
  <c r="Z20" i="7"/>
  <c r="AG19" i="7"/>
  <c r="Z19" i="7"/>
  <c r="AG18" i="7"/>
  <c r="AA18" i="7"/>
  <c r="Z18" i="7"/>
  <c r="AG17" i="7"/>
  <c r="Z17" i="7"/>
  <c r="AG16" i="7"/>
  <c r="AA16" i="7"/>
  <c r="Z16" i="7"/>
  <c r="AG15" i="7"/>
  <c r="Z15" i="7"/>
  <c r="AG14" i="7"/>
  <c r="AA14" i="7"/>
  <c r="Z14" i="7"/>
  <c r="AG13" i="7"/>
  <c r="Z13" i="7"/>
  <c r="AG12" i="7"/>
  <c r="AA12" i="7"/>
  <c r="Z12" i="7"/>
  <c r="AG11" i="7"/>
  <c r="Z11" i="7"/>
  <c r="AG10" i="7"/>
  <c r="AA10" i="7"/>
  <c r="Z10" i="7"/>
  <c r="AG9" i="7"/>
  <c r="Z9" i="7"/>
  <c r="AG8" i="7"/>
  <c r="AA8" i="7"/>
  <c r="Z8" i="7"/>
  <c r="AG7" i="7"/>
  <c r="Z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P11" i="5"/>
  <c r="P10" i="5"/>
  <c r="P9" i="5"/>
  <c r="R9" i="5" s="1"/>
  <c r="F44" i="5"/>
  <c r="E44" i="5"/>
  <c r="D44" i="5"/>
  <c r="F26" i="5"/>
  <c r="E26" i="5"/>
  <c r="D26" i="5"/>
  <c r="AJ56" i="6" s="1"/>
  <c r="F25" i="5"/>
  <c r="E25" i="5"/>
  <c r="D25" i="5"/>
  <c r="AI56" i="6" s="1"/>
  <c r="F24" i="5"/>
  <c r="AH56" i="9" s="1"/>
  <c r="E24" i="5"/>
  <c r="AH55" i="9" s="1"/>
  <c r="D24" i="5"/>
  <c r="D13" i="5"/>
  <c r="D18" i="5" s="1"/>
  <c r="AB56" i="6" s="1"/>
  <c r="F39" i="5"/>
  <c r="F17" i="5"/>
  <c r="AA58" i="6" s="1"/>
  <c r="F16" i="5"/>
  <c r="F12" i="5"/>
  <c r="F11" i="5"/>
  <c r="U58" i="6" s="1"/>
  <c r="M15" i="5"/>
  <c r="M7" i="5"/>
  <c r="D36" i="5" s="1"/>
  <c r="F45" i="5"/>
  <c r="E45" i="5"/>
  <c r="F43" i="5"/>
  <c r="D43" i="5"/>
  <c r="E41" i="5"/>
  <c r="D41" i="5"/>
  <c r="F23" i="5"/>
  <c r="D23" i="5"/>
  <c r="AG56" i="6" s="1"/>
  <c r="F20" i="5"/>
  <c r="AD56" i="9" s="1"/>
  <c r="E20" i="5"/>
  <c r="AD57" i="6" s="1"/>
  <c r="D20" i="5"/>
  <c r="AD56" i="6" s="1"/>
  <c r="E18" i="5"/>
  <c r="AB55" i="7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U36" i="3" s="1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U33" i="3" s="1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U28" i="3" s="1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U12" i="3" s="1"/>
  <c r="I12" i="3"/>
  <c r="T11" i="3"/>
  <c r="S11" i="3"/>
  <c r="R11" i="3"/>
  <c r="Q11" i="3"/>
  <c r="P11" i="3"/>
  <c r="O11" i="3"/>
  <c r="N11" i="3"/>
  <c r="M11" i="3"/>
  <c r="L11" i="3"/>
  <c r="K11" i="3"/>
  <c r="J11" i="3"/>
  <c r="U11" i="3" s="1"/>
  <c r="I11" i="3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U3" i="3" s="1"/>
  <c r="J3" i="3"/>
  <c r="I3" i="3"/>
  <c r="T2" i="3"/>
  <c r="S2" i="3"/>
  <c r="R2" i="3"/>
  <c r="Q2" i="3"/>
  <c r="P2" i="3"/>
  <c r="O2" i="3"/>
  <c r="N2" i="3"/>
  <c r="M2" i="3"/>
  <c r="L2" i="3"/>
  <c r="K2" i="3"/>
  <c r="J2" i="3"/>
  <c r="U2" i="3" s="1"/>
  <c r="I2" i="3"/>
  <c r="H1" i="2"/>
  <c r="I23" i="23" l="1"/>
  <c r="I23" i="14"/>
  <c r="I23" i="7"/>
  <c r="I23" i="6"/>
  <c r="I23" i="8"/>
  <c r="I23" i="9"/>
  <c r="I33" i="23"/>
  <c r="I33" i="8"/>
  <c r="I33" i="14"/>
  <c r="I33" i="9"/>
  <c r="I33" i="7"/>
  <c r="I33" i="6"/>
  <c r="I10" i="24"/>
  <c r="I10" i="13"/>
  <c r="I10" i="12"/>
  <c r="I10" i="11"/>
  <c r="I10" i="10"/>
  <c r="I8" i="23"/>
  <c r="I8" i="8"/>
  <c r="I8" i="7"/>
  <c r="I8" i="14"/>
  <c r="I8" i="9"/>
  <c r="I8" i="6"/>
  <c r="I24" i="23"/>
  <c r="I24" i="6"/>
  <c r="I24" i="8"/>
  <c r="I24" i="14"/>
  <c r="I24" i="9"/>
  <c r="I24" i="7"/>
  <c r="I34" i="23"/>
  <c r="I34" i="14"/>
  <c r="I34" i="7"/>
  <c r="I34" i="9"/>
  <c r="I34" i="6"/>
  <c r="I34" i="8"/>
  <c r="I44" i="23"/>
  <c r="I44" i="14"/>
  <c r="I44" i="9"/>
  <c r="I44" i="6"/>
  <c r="I44" i="8"/>
  <c r="I44" i="7"/>
  <c r="I19" i="24"/>
  <c r="AD61" i="24" s="1"/>
  <c r="I19" i="13"/>
  <c r="I19" i="12"/>
  <c r="I19" i="11"/>
  <c r="I19" i="10"/>
  <c r="I14" i="23"/>
  <c r="I14" i="9"/>
  <c r="I14" i="6"/>
  <c r="I14" i="8"/>
  <c r="I14" i="7"/>
  <c r="I14" i="14"/>
  <c r="I30" i="23"/>
  <c r="I30" i="9"/>
  <c r="I30" i="14"/>
  <c r="I30" i="6"/>
  <c r="I30" i="8"/>
  <c r="I30" i="7"/>
  <c r="I38" i="23"/>
  <c r="I38" i="9"/>
  <c r="I38" i="14"/>
  <c r="I38" i="6"/>
  <c r="I38" i="8"/>
  <c r="I38" i="7"/>
  <c r="I9" i="23"/>
  <c r="I9" i="8"/>
  <c r="I9" i="7"/>
  <c r="I9" i="14"/>
  <c r="I9" i="9"/>
  <c r="I9" i="6"/>
  <c r="I19" i="23"/>
  <c r="I19" i="14"/>
  <c r="I19" i="9"/>
  <c r="I19" i="6"/>
  <c r="I19" i="8"/>
  <c r="I19" i="7"/>
  <c r="I12" i="23"/>
  <c r="I12" i="9"/>
  <c r="I12" i="6"/>
  <c r="I12" i="8"/>
  <c r="I12" i="7"/>
  <c r="I12" i="14"/>
  <c r="I18" i="23"/>
  <c r="I18" i="14"/>
  <c r="I18" i="9"/>
  <c r="I18" i="6"/>
  <c r="I18" i="8"/>
  <c r="I18" i="7"/>
  <c r="I28" i="23"/>
  <c r="I28" i="14"/>
  <c r="I28" i="9"/>
  <c r="I28" i="6"/>
  <c r="I28" i="8"/>
  <c r="I28" i="7"/>
  <c r="I48" i="23"/>
  <c r="I48" i="6"/>
  <c r="I48" i="14"/>
  <c r="I48" i="8"/>
  <c r="I48" i="9"/>
  <c r="I48" i="7"/>
  <c r="I6" i="23"/>
  <c r="I6" i="9"/>
  <c r="I6" i="6"/>
  <c r="I6" i="8"/>
  <c r="I6" i="7"/>
  <c r="I6" i="14"/>
  <c r="I46" i="23"/>
  <c r="I46" i="9"/>
  <c r="I46" i="14"/>
  <c r="I46" i="6"/>
  <c r="I46" i="8"/>
  <c r="I46" i="7"/>
  <c r="I17" i="23"/>
  <c r="I17" i="8"/>
  <c r="I17" i="7"/>
  <c r="I17" i="14"/>
  <c r="I17" i="9"/>
  <c r="I17" i="6"/>
  <c r="I41" i="23"/>
  <c r="I41" i="8"/>
  <c r="I41" i="14"/>
  <c r="I41" i="9"/>
  <c r="I41" i="7"/>
  <c r="I41" i="6"/>
  <c r="I47" i="23"/>
  <c r="I47" i="7"/>
  <c r="I47" i="6"/>
  <c r="I47" i="8"/>
  <c r="I47" i="14"/>
  <c r="I47" i="9"/>
  <c r="I5" i="23"/>
  <c r="I5" i="14"/>
  <c r="I5" i="9"/>
  <c r="I5" i="6"/>
  <c r="I5" i="8"/>
  <c r="I5" i="7"/>
  <c r="P12" i="5"/>
  <c r="I10" i="23"/>
  <c r="I10" i="14"/>
  <c r="I10" i="9"/>
  <c r="I10" i="6"/>
  <c r="I10" i="8"/>
  <c r="I10" i="7"/>
  <c r="I20" i="23"/>
  <c r="I20" i="14"/>
  <c r="I20" i="9"/>
  <c r="I20" i="6"/>
  <c r="I20" i="8"/>
  <c r="I20" i="7"/>
  <c r="I26" i="23"/>
  <c r="I26" i="14"/>
  <c r="I26" i="7"/>
  <c r="I26" i="9"/>
  <c r="I26" i="6"/>
  <c r="I26" i="8"/>
  <c r="I40" i="23"/>
  <c r="I40" i="6"/>
  <c r="I40" i="14"/>
  <c r="I40" i="8"/>
  <c r="I40" i="9"/>
  <c r="I40" i="7"/>
  <c r="I50" i="23"/>
  <c r="I50" i="14"/>
  <c r="I50" i="7"/>
  <c r="M69" i="6" s="1"/>
  <c r="I50" i="9"/>
  <c r="I50" i="6"/>
  <c r="I50" i="8"/>
  <c r="I9" i="24"/>
  <c r="I9" i="13"/>
  <c r="I9" i="12"/>
  <c r="I9" i="11"/>
  <c r="I9" i="10"/>
  <c r="I36" i="23"/>
  <c r="I36" i="14"/>
  <c r="I36" i="9"/>
  <c r="I36" i="6"/>
  <c r="I36" i="8"/>
  <c r="I36" i="7"/>
  <c r="I27" i="23"/>
  <c r="I27" i="7"/>
  <c r="I27" i="9"/>
  <c r="I27" i="14"/>
  <c r="I27" i="6"/>
  <c r="I27" i="8"/>
  <c r="I45" i="23"/>
  <c r="I45" i="9"/>
  <c r="I45" i="6"/>
  <c r="I45" i="8"/>
  <c r="I45" i="14"/>
  <c r="I45" i="7"/>
  <c r="I49" i="23"/>
  <c r="I49" i="8"/>
  <c r="I49" i="14"/>
  <c r="I49" i="9"/>
  <c r="I49" i="7"/>
  <c r="I49" i="6"/>
  <c r="I51" i="23"/>
  <c r="I51" i="7"/>
  <c r="I51" i="9"/>
  <c r="I51" i="14"/>
  <c r="I51" i="6"/>
  <c r="I51" i="8"/>
  <c r="I6" i="24"/>
  <c r="I6" i="12"/>
  <c r="I6" i="11"/>
  <c r="I6" i="10"/>
  <c r="I6" i="13"/>
  <c r="I12" i="24"/>
  <c r="AF54" i="24" s="1"/>
  <c r="I12" i="13"/>
  <c r="I12" i="12"/>
  <c r="I12" i="11"/>
  <c r="I12" i="10"/>
  <c r="I14" i="24"/>
  <c r="I14" i="12"/>
  <c r="I14" i="11"/>
  <c r="I14" i="10"/>
  <c r="I14" i="13"/>
  <c r="I16" i="24"/>
  <c r="AF58" i="24" s="1"/>
  <c r="I16" i="12"/>
  <c r="I16" i="11"/>
  <c r="I16" i="10"/>
  <c r="I16" i="13"/>
  <c r="I18" i="24"/>
  <c r="I18" i="13"/>
  <c r="I18" i="12"/>
  <c r="I18" i="11"/>
  <c r="I18" i="10"/>
  <c r="I20" i="24"/>
  <c r="I20" i="13"/>
  <c r="I20" i="12"/>
  <c r="I20" i="11"/>
  <c r="I20" i="10"/>
  <c r="I22" i="24"/>
  <c r="I22" i="12"/>
  <c r="I22" i="11"/>
  <c r="I22" i="10"/>
  <c r="I22" i="13"/>
  <c r="I24" i="24"/>
  <c r="X66" i="24" s="1"/>
  <c r="I24" i="12"/>
  <c r="I24" i="11"/>
  <c r="I24" i="10"/>
  <c r="I24" i="13"/>
  <c r="I26" i="24"/>
  <c r="I26" i="13"/>
  <c r="I26" i="12"/>
  <c r="I26" i="11"/>
  <c r="I26" i="10"/>
  <c r="I28" i="24"/>
  <c r="I28" i="13"/>
  <c r="I28" i="12"/>
  <c r="I28" i="11"/>
  <c r="I28" i="10"/>
  <c r="I30" i="24"/>
  <c r="I30" i="12"/>
  <c r="I30" i="11"/>
  <c r="I30" i="10"/>
  <c r="I30" i="13"/>
  <c r="I32" i="24"/>
  <c r="I32" i="12"/>
  <c r="I32" i="11"/>
  <c r="I32" i="10"/>
  <c r="I32" i="13"/>
  <c r="I34" i="24"/>
  <c r="I34" i="13"/>
  <c r="I34" i="12"/>
  <c r="I34" i="11"/>
  <c r="I34" i="10"/>
  <c r="I36" i="24"/>
  <c r="I36" i="13"/>
  <c r="I36" i="12"/>
  <c r="I36" i="11"/>
  <c r="I36" i="10"/>
  <c r="I38" i="24"/>
  <c r="I38" i="12"/>
  <c r="I38" i="11"/>
  <c r="I38" i="10"/>
  <c r="I38" i="13"/>
  <c r="I40" i="24"/>
  <c r="I40" i="12"/>
  <c r="I40" i="11"/>
  <c r="I40" i="10"/>
  <c r="I40" i="13"/>
  <c r="I7" i="23"/>
  <c r="I7" i="8"/>
  <c r="I7" i="7"/>
  <c r="I7" i="14"/>
  <c r="P13" i="5"/>
  <c r="I7" i="9"/>
  <c r="I7" i="6"/>
  <c r="I25" i="23"/>
  <c r="I25" i="14"/>
  <c r="I25" i="8"/>
  <c r="I25" i="7"/>
  <c r="I25" i="9"/>
  <c r="I25" i="6"/>
  <c r="I37" i="23"/>
  <c r="I37" i="9"/>
  <c r="I37" i="6"/>
  <c r="I37" i="8"/>
  <c r="I37" i="14"/>
  <c r="I37" i="7"/>
  <c r="I15" i="23"/>
  <c r="I15" i="8"/>
  <c r="I15" i="7"/>
  <c r="I15" i="14"/>
  <c r="I15" i="6"/>
  <c r="I15" i="9"/>
  <c r="I21" i="23"/>
  <c r="I21" i="14"/>
  <c r="I21" i="9"/>
  <c r="I21" i="6"/>
  <c r="I21" i="8"/>
  <c r="I21" i="7"/>
  <c r="I35" i="23"/>
  <c r="I35" i="7"/>
  <c r="I35" i="9"/>
  <c r="I35" i="14"/>
  <c r="I35" i="6"/>
  <c r="I35" i="8"/>
  <c r="I31" i="23"/>
  <c r="I31" i="7"/>
  <c r="I31" i="6"/>
  <c r="I31" i="8"/>
  <c r="I31" i="14"/>
  <c r="I31" i="9"/>
  <c r="I39" i="23"/>
  <c r="I39" i="7"/>
  <c r="I39" i="6"/>
  <c r="I39" i="8"/>
  <c r="I39" i="14"/>
  <c r="I39" i="9"/>
  <c r="I29" i="23"/>
  <c r="I29" i="9"/>
  <c r="I29" i="6"/>
  <c r="I29" i="8"/>
  <c r="I29" i="14"/>
  <c r="I29" i="7"/>
  <c r="I11" i="23"/>
  <c r="I11" i="14"/>
  <c r="I11" i="9"/>
  <c r="I11" i="6"/>
  <c r="I11" i="8"/>
  <c r="I11" i="7"/>
  <c r="I43" i="23"/>
  <c r="I43" i="7"/>
  <c r="I43" i="9"/>
  <c r="I43" i="14"/>
  <c r="I43" i="6"/>
  <c r="I43" i="8"/>
  <c r="I8" i="24"/>
  <c r="I8" i="12"/>
  <c r="I8" i="11"/>
  <c r="I8" i="10"/>
  <c r="I8" i="13"/>
  <c r="I13" i="23"/>
  <c r="I13" i="14"/>
  <c r="I13" i="9"/>
  <c r="I13" i="6"/>
  <c r="I13" i="8"/>
  <c r="I13" i="7"/>
  <c r="I16" i="23"/>
  <c r="I16" i="8"/>
  <c r="I16" i="7"/>
  <c r="I16" i="14"/>
  <c r="I16" i="6"/>
  <c r="I16" i="9"/>
  <c r="I22" i="23"/>
  <c r="I22" i="9"/>
  <c r="I22" i="7"/>
  <c r="I22" i="6"/>
  <c r="I22" i="8"/>
  <c r="I22" i="14"/>
  <c r="I32" i="23"/>
  <c r="I32" i="6"/>
  <c r="I32" i="14"/>
  <c r="I32" i="8"/>
  <c r="I32" i="9"/>
  <c r="I32" i="7"/>
  <c r="I42" i="23"/>
  <c r="I42" i="14"/>
  <c r="I42" i="7"/>
  <c r="I42" i="9"/>
  <c r="I42" i="6"/>
  <c r="I42" i="8"/>
  <c r="I5" i="24"/>
  <c r="AA47" i="24" s="1"/>
  <c r="I5" i="13"/>
  <c r="I5" i="12"/>
  <c r="I5" i="11"/>
  <c r="I5" i="10"/>
  <c r="P14" i="5"/>
  <c r="I7" i="24"/>
  <c r="I7" i="12"/>
  <c r="I7" i="11"/>
  <c r="I7" i="10"/>
  <c r="I7" i="13"/>
  <c r="I11" i="24"/>
  <c r="I11" i="13"/>
  <c r="I11" i="12"/>
  <c r="I11" i="11"/>
  <c r="I11" i="10"/>
  <c r="I13" i="24"/>
  <c r="I13" i="13"/>
  <c r="I13" i="12"/>
  <c r="I13" i="11"/>
  <c r="I13" i="10"/>
  <c r="I15" i="24"/>
  <c r="I15" i="12"/>
  <c r="I15" i="11"/>
  <c r="I15" i="10"/>
  <c r="I15" i="13"/>
  <c r="I17" i="24"/>
  <c r="Z59" i="24" s="1"/>
  <c r="I17" i="13"/>
  <c r="I17" i="12"/>
  <c r="I17" i="11"/>
  <c r="I17" i="10"/>
  <c r="I21" i="24"/>
  <c r="AH63" i="24" s="1"/>
  <c r="I21" i="13"/>
  <c r="I21" i="12"/>
  <c r="I21" i="11"/>
  <c r="I21" i="10"/>
  <c r="I23" i="24"/>
  <c r="I23" i="12"/>
  <c r="I23" i="11"/>
  <c r="I23" i="10"/>
  <c r="I23" i="13"/>
  <c r="I25" i="24"/>
  <c r="Z67" i="24" s="1"/>
  <c r="I25" i="13"/>
  <c r="I25" i="12"/>
  <c r="I25" i="11"/>
  <c r="I25" i="10"/>
  <c r="I27" i="24"/>
  <c r="I27" i="13"/>
  <c r="I27" i="12"/>
  <c r="I27" i="11"/>
  <c r="I27" i="10"/>
  <c r="I29" i="24"/>
  <c r="I29" i="13"/>
  <c r="I29" i="12"/>
  <c r="I29" i="11"/>
  <c r="I29" i="10"/>
  <c r="I31" i="24"/>
  <c r="I31" i="12"/>
  <c r="I31" i="11"/>
  <c r="I31" i="10"/>
  <c r="I31" i="13"/>
  <c r="I33" i="24"/>
  <c r="I33" i="13"/>
  <c r="I33" i="12"/>
  <c r="I33" i="11"/>
  <c r="I33" i="10"/>
  <c r="I35" i="24"/>
  <c r="I35" i="13"/>
  <c r="I35" i="12"/>
  <c r="I35" i="11"/>
  <c r="I35" i="10"/>
  <c r="I37" i="24"/>
  <c r="I37" i="13"/>
  <c r="I37" i="12"/>
  <c r="I37" i="11"/>
  <c r="I37" i="10"/>
  <c r="I39" i="24"/>
  <c r="I39" i="12"/>
  <c r="I39" i="11"/>
  <c r="I39" i="10"/>
  <c r="I39" i="13"/>
  <c r="I41" i="24"/>
  <c r="I41" i="13"/>
  <c r="I41" i="12"/>
  <c r="I41" i="11"/>
  <c r="I41" i="10"/>
  <c r="U56" i="7"/>
  <c r="AJ2" i="16"/>
  <c r="AJ7" i="16" s="1"/>
  <c r="AT2" i="16"/>
  <c r="AJ3" i="16"/>
  <c r="AT3" i="16"/>
  <c r="D28" i="5"/>
  <c r="AL56" i="6" s="1"/>
  <c r="AO2" i="16"/>
  <c r="AO7" i="16" s="1"/>
  <c r="P15" i="5"/>
  <c r="AH56" i="6"/>
  <c r="AM57" i="7"/>
  <c r="AD58" i="6"/>
  <c r="AO4" i="16"/>
  <c r="AO6" i="16"/>
  <c r="AJ5" i="16"/>
  <c r="AA11" i="21"/>
  <c r="AT4" i="16"/>
  <c r="AJ4" i="16"/>
  <c r="AA9" i="21"/>
  <c r="AT6" i="16"/>
  <c r="AJ6" i="16"/>
  <c r="AA10" i="21"/>
  <c r="AD10" i="21"/>
  <c r="AC62" i="17"/>
  <c r="AC70" i="17"/>
  <c r="AC78" i="17"/>
  <c r="AC86" i="17"/>
  <c r="AC154" i="17"/>
  <c r="AC156" i="17"/>
  <c r="AC158" i="17"/>
  <c r="AC160" i="17"/>
  <c r="AC162" i="17"/>
  <c r="AC164" i="17"/>
  <c r="R12" i="21"/>
  <c r="Y4" i="21"/>
  <c r="AG4" i="21" s="1"/>
  <c r="AC7" i="17"/>
  <c r="AC15" i="17"/>
  <c r="AC23" i="17"/>
  <c r="AC31" i="17"/>
  <c r="AC39" i="17"/>
  <c r="AI13" i="21"/>
  <c r="AC58" i="17"/>
  <c r="AC66" i="17"/>
  <c r="AC74" i="17"/>
  <c r="AC82" i="17"/>
  <c r="AC90" i="17"/>
  <c r="AI5" i="17"/>
  <c r="AO5" i="16"/>
  <c r="X3" i="21"/>
  <c r="AF3" i="21" s="1"/>
  <c r="AC3" i="17"/>
  <c r="AC11" i="17"/>
  <c r="AC19" i="17"/>
  <c r="AC27" i="17"/>
  <c r="AC35" i="17"/>
  <c r="AC43" i="17"/>
  <c r="AJ4" i="21"/>
  <c r="BD57" i="23"/>
  <c r="AZ57" i="23"/>
  <c r="AV57" i="23"/>
  <c r="AR57" i="23"/>
  <c r="AN57" i="23"/>
  <c r="AJ57" i="23"/>
  <c r="BC57" i="23"/>
  <c r="AY57" i="23"/>
  <c r="AU57" i="23"/>
  <c r="AQ57" i="23"/>
  <c r="J8" i="25" s="1"/>
  <c r="AM57" i="23"/>
  <c r="AI57" i="23"/>
  <c r="BB57" i="23"/>
  <c r="AX57" i="23"/>
  <c r="AT57" i="23"/>
  <c r="AP57" i="23"/>
  <c r="AL57" i="23"/>
  <c r="E8" i="25" s="1"/>
  <c r="BA57" i="23"/>
  <c r="AW57" i="23"/>
  <c r="AS57" i="23"/>
  <c r="AO57" i="23"/>
  <c r="AK57" i="23"/>
  <c r="BD61" i="23"/>
  <c r="AZ61" i="23"/>
  <c r="AV61" i="23"/>
  <c r="AR61" i="23"/>
  <c r="AN61" i="23"/>
  <c r="AJ61" i="23"/>
  <c r="BC61" i="23"/>
  <c r="AY61" i="23"/>
  <c r="AU61" i="23"/>
  <c r="AQ61" i="23"/>
  <c r="AM61" i="23"/>
  <c r="AI61" i="23"/>
  <c r="BB61" i="23"/>
  <c r="AX61" i="23"/>
  <c r="Q8" i="25" s="1"/>
  <c r="AT61" i="23"/>
  <c r="AP61" i="23"/>
  <c r="AL61" i="23"/>
  <c r="BA61" i="23"/>
  <c r="AW61" i="23"/>
  <c r="AS61" i="23"/>
  <c r="AO61" i="23"/>
  <c r="AK61" i="23"/>
  <c r="BD65" i="23"/>
  <c r="AZ65" i="23"/>
  <c r="AV65" i="23"/>
  <c r="AR65" i="23"/>
  <c r="AN65" i="23"/>
  <c r="AJ65" i="23"/>
  <c r="BC65" i="23"/>
  <c r="AY65" i="23"/>
  <c r="AU65" i="23"/>
  <c r="AQ65" i="23"/>
  <c r="AM65" i="23"/>
  <c r="AI65" i="23"/>
  <c r="BB65" i="23"/>
  <c r="AX65" i="23"/>
  <c r="AT65" i="23"/>
  <c r="AP65" i="23"/>
  <c r="AL65" i="23"/>
  <c r="BA65" i="23"/>
  <c r="AW65" i="23"/>
  <c r="AS65" i="23"/>
  <c r="AO65" i="23"/>
  <c r="AK65" i="23"/>
  <c r="BD69" i="23"/>
  <c r="AZ69" i="23"/>
  <c r="AV69" i="23"/>
  <c r="AR69" i="23"/>
  <c r="AN69" i="23"/>
  <c r="AJ69" i="23"/>
  <c r="BC69" i="23"/>
  <c r="AY69" i="23"/>
  <c r="AU69" i="23"/>
  <c r="AQ69" i="23"/>
  <c r="AM69" i="23"/>
  <c r="AI69" i="23"/>
  <c r="BB69" i="23"/>
  <c r="AX69" i="23"/>
  <c r="AT69" i="23"/>
  <c r="AP69" i="23"/>
  <c r="AL69" i="23"/>
  <c r="BA69" i="23"/>
  <c r="AW69" i="23"/>
  <c r="AS69" i="23"/>
  <c r="AO69" i="23"/>
  <c r="AK69" i="23"/>
  <c r="BB73" i="23"/>
  <c r="BA73" i="23"/>
  <c r="AW73" i="23"/>
  <c r="AS73" i="23"/>
  <c r="AO73" i="23"/>
  <c r="AK73" i="23"/>
  <c r="P73" i="23"/>
  <c r="BD73" i="23"/>
  <c r="AZ73" i="23"/>
  <c r="AV73" i="23"/>
  <c r="AR73" i="23"/>
  <c r="AN73" i="23"/>
  <c r="AJ73" i="23"/>
  <c r="BC73" i="23"/>
  <c r="AY73" i="23"/>
  <c r="AU73" i="23"/>
  <c r="AQ73" i="23"/>
  <c r="AM73" i="23"/>
  <c r="AI73" i="23"/>
  <c r="R73" i="23"/>
  <c r="AT73" i="23"/>
  <c r="AP73" i="23"/>
  <c r="AL73" i="23"/>
  <c r="AX73" i="23"/>
  <c r="BB77" i="23"/>
  <c r="AX77" i="23"/>
  <c r="AT77" i="23"/>
  <c r="AP77" i="23"/>
  <c r="AL77" i="23"/>
  <c r="BA77" i="23"/>
  <c r="AW77" i="23"/>
  <c r="AS77" i="23"/>
  <c r="AO77" i="23"/>
  <c r="AK77" i="23"/>
  <c r="BD77" i="23"/>
  <c r="AZ77" i="23"/>
  <c r="AV77" i="23"/>
  <c r="AR77" i="23"/>
  <c r="AN77" i="23"/>
  <c r="AJ77" i="23"/>
  <c r="BC77" i="23"/>
  <c r="AY77" i="23"/>
  <c r="AU77" i="23"/>
  <c r="AQ77" i="23"/>
  <c r="AM77" i="23"/>
  <c r="AI77" i="23"/>
  <c r="BB81" i="23"/>
  <c r="AX81" i="23"/>
  <c r="AT81" i="23"/>
  <c r="AP81" i="23"/>
  <c r="AL81" i="23"/>
  <c r="BA81" i="23"/>
  <c r="AW81" i="23"/>
  <c r="AS81" i="23"/>
  <c r="AO81" i="23"/>
  <c r="AK81" i="23"/>
  <c r="P81" i="23"/>
  <c r="BD81" i="23"/>
  <c r="AZ81" i="23"/>
  <c r="AV81" i="23"/>
  <c r="AR81" i="23"/>
  <c r="AN81" i="23"/>
  <c r="AJ81" i="23"/>
  <c r="BC81" i="23"/>
  <c r="AY81" i="23"/>
  <c r="AU81" i="23"/>
  <c r="AQ81" i="23"/>
  <c r="AM81" i="23"/>
  <c r="AI81" i="23"/>
  <c r="R81" i="23"/>
  <c r="BB85" i="23"/>
  <c r="AX85" i="23"/>
  <c r="AT85" i="23"/>
  <c r="AP85" i="23"/>
  <c r="AL85" i="23"/>
  <c r="BA85" i="23"/>
  <c r="AW85" i="23"/>
  <c r="AS85" i="23"/>
  <c r="AO85" i="23"/>
  <c r="AK85" i="23"/>
  <c r="BD85" i="23"/>
  <c r="AV85" i="23"/>
  <c r="AN85" i="23"/>
  <c r="BC85" i="23"/>
  <c r="AU85" i="23"/>
  <c r="AM85" i="23"/>
  <c r="AZ85" i="23"/>
  <c r="AR85" i="23"/>
  <c r="AJ85" i="23"/>
  <c r="AY85" i="23"/>
  <c r="AQ85" i="23"/>
  <c r="AI85" i="23"/>
  <c r="BC89" i="23"/>
  <c r="AY89" i="23"/>
  <c r="AU89" i="23"/>
  <c r="AQ89" i="23"/>
  <c r="AM89" i="23"/>
  <c r="AI89" i="23"/>
  <c r="BB89" i="23"/>
  <c r="AX89" i="23"/>
  <c r="AT89" i="23"/>
  <c r="AP89" i="23"/>
  <c r="AL89" i="23"/>
  <c r="BA89" i="23"/>
  <c r="AW89" i="23"/>
  <c r="AS89" i="23"/>
  <c r="AO89" i="23"/>
  <c r="AK89" i="23"/>
  <c r="AV89" i="23"/>
  <c r="AR89" i="23"/>
  <c r="BD89" i="23"/>
  <c r="AN89" i="23"/>
  <c r="AZ89" i="23"/>
  <c r="AJ89" i="23"/>
  <c r="BC93" i="23"/>
  <c r="AY93" i="23"/>
  <c r="AU93" i="23"/>
  <c r="AQ93" i="23"/>
  <c r="AM93" i="23"/>
  <c r="AI93" i="23"/>
  <c r="BB93" i="23"/>
  <c r="AX93" i="23"/>
  <c r="AT93" i="23"/>
  <c r="AP93" i="23"/>
  <c r="AL93" i="23"/>
  <c r="BA93" i="23"/>
  <c r="AW93" i="23"/>
  <c r="AS93" i="23"/>
  <c r="AO93" i="23"/>
  <c r="AK93" i="23"/>
  <c r="AV93" i="23"/>
  <c r="AR93" i="23"/>
  <c r="BD93" i="23"/>
  <c r="AN93" i="23"/>
  <c r="AZ93" i="23"/>
  <c r="AJ93" i="23"/>
  <c r="BD97" i="23"/>
  <c r="AZ97" i="23"/>
  <c r="AV97" i="23"/>
  <c r="AR97" i="23"/>
  <c r="AN97" i="23"/>
  <c r="AJ97" i="23"/>
  <c r="BC97" i="23"/>
  <c r="AY97" i="23"/>
  <c r="AU97" i="23"/>
  <c r="AQ97" i="23"/>
  <c r="AM97" i="23"/>
  <c r="AI97" i="23"/>
  <c r="BB97" i="23"/>
  <c r="AX97" i="23"/>
  <c r="AT97" i="23"/>
  <c r="AP97" i="23"/>
  <c r="AL97" i="23"/>
  <c r="BA97" i="23"/>
  <c r="AW97" i="23"/>
  <c r="AS97" i="23"/>
  <c r="AO97" i="23"/>
  <c r="AK97" i="23"/>
  <c r="BA101" i="23"/>
  <c r="AW101" i="23"/>
  <c r="AS101" i="23"/>
  <c r="AO101" i="23"/>
  <c r="AK101" i="23"/>
  <c r="BD101" i="23"/>
  <c r="AZ101" i="23"/>
  <c r="AV101" i="23"/>
  <c r="AR101" i="23"/>
  <c r="AN101" i="23"/>
  <c r="AJ101" i="23"/>
  <c r="BC101" i="23"/>
  <c r="AY101" i="23"/>
  <c r="AU101" i="23"/>
  <c r="AQ101" i="23"/>
  <c r="AM101" i="23"/>
  <c r="AI101" i="23"/>
  <c r="BB101" i="23"/>
  <c r="AX101" i="23"/>
  <c r="AT101" i="23"/>
  <c r="AP101" i="23"/>
  <c r="AL101" i="23"/>
  <c r="BD58" i="23"/>
  <c r="AZ58" i="23"/>
  <c r="AV58" i="23"/>
  <c r="AR58" i="23"/>
  <c r="AN58" i="23"/>
  <c r="AJ58" i="23"/>
  <c r="BC58" i="23"/>
  <c r="AY58" i="23"/>
  <c r="AU58" i="23"/>
  <c r="AQ58" i="23"/>
  <c r="AM58" i="23"/>
  <c r="F8" i="25" s="1"/>
  <c r="AI58" i="23"/>
  <c r="BB58" i="23"/>
  <c r="AX58" i="23"/>
  <c r="AT58" i="23"/>
  <c r="AP58" i="23"/>
  <c r="AL58" i="23"/>
  <c r="BA58" i="23"/>
  <c r="T8" i="25" s="1"/>
  <c r="AW58" i="23"/>
  <c r="P8" i="25" s="1"/>
  <c r="AS58" i="23"/>
  <c r="AO58" i="23"/>
  <c r="AK58" i="23"/>
  <c r="BD62" i="23"/>
  <c r="AZ62" i="23"/>
  <c r="AV62" i="23"/>
  <c r="AR62" i="23"/>
  <c r="AN62" i="23"/>
  <c r="AJ62" i="23"/>
  <c r="BC62" i="23"/>
  <c r="AY62" i="23"/>
  <c r="AU62" i="23"/>
  <c r="AQ62" i="23"/>
  <c r="AM62" i="23"/>
  <c r="AI62" i="23"/>
  <c r="BB62" i="23"/>
  <c r="AX62" i="23"/>
  <c r="AT62" i="23"/>
  <c r="AP62" i="23"/>
  <c r="I8" i="25" s="1"/>
  <c r="AL62" i="23"/>
  <c r="BA62" i="23"/>
  <c r="AW62" i="23"/>
  <c r="AS62" i="23"/>
  <c r="AO62" i="23"/>
  <c r="AK62" i="23"/>
  <c r="BD66" i="23"/>
  <c r="AZ66" i="23"/>
  <c r="AV66" i="23"/>
  <c r="AR66" i="23"/>
  <c r="AN66" i="23"/>
  <c r="AJ66" i="23"/>
  <c r="BC66" i="23"/>
  <c r="AY66" i="23"/>
  <c r="AU66" i="23"/>
  <c r="AQ66" i="23"/>
  <c r="AM66" i="23"/>
  <c r="AI66" i="23"/>
  <c r="BB66" i="23"/>
  <c r="AX66" i="23"/>
  <c r="AT66" i="23"/>
  <c r="AP66" i="23"/>
  <c r="AL66" i="23"/>
  <c r="BA66" i="23"/>
  <c r="AW66" i="23"/>
  <c r="AS66" i="23"/>
  <c r="AO66" i="23"/>
  <c r="AK66" i="23"/>
  <c r="BD70" i="23"/>
  <c r="AZ70" i="23"/>
  <c r="AV70" i="23"/>
  <c r="AR70" i="23"/>
  <c r="AN70" i="23"/>
  <c r="AJ70" i="23"/>
  <c r="BC70" i="23"/>
  <c r="AY70" i="23"/>
  <c r="AU70" i="23"/>
  <c r="AQ70" i="23"/>
  <c r="AM70" i="23"/>
  <c r="AI70" i="23"/>
  <c r="BB70" i="23"/>
  <c r="AX70" i="23"/>
  <c r="AT70" i="23"/>
  <c r="AP70" i="23"/>
  <c r="AL70" i="23"/>
  <c r="BA70" i="23"/>
  <c r="AW70" i="23"/>
  <c r="AS70" i="23"/>
  <c r="AO70" i="23"/>
  <c r="AK70" i="23"/>
  <c r="BB74" i="23"/>
  <c r="AX74" i="23"/>
  <c r="AT74" i="23"/>
  <c r="AP74" i="23"/>
  <c r="AL74" i="23"/>
  <c r="BA74" i="23"/>
  <c r="AW74" i="23"/>
  <c r="AS74" i="23"/>
  <c r="AO74" i="23"/>
  <c r="AK74" i="23"/>
  <c r="P74" i="23"/>
  <c r="BD74" i="23"/>
  <c r="AZ74" i="23"/>
  <c r="AV74" i="23"/>
  <c r="AR74" i="23"/>
  <c r="AN74" i="23"/>
  <c r="AJ74" i="23"/>
  <c r="BC74" i="23"/>
  <c r="AY74" i="23"/>
  <c r="AU74" i="23"/>
  <c r="AQ74" i="23"/>
  <c r="AM74" i="23"/>
  <c r="AI74" i="23"/>
  <c r="R74" i="23"/>
  <c r="BB78" i="23"/>
  <c r="AX78" i="23"/>
  <c r="AT78" i="23"/>
  <c r="AP78" i="23"/>
  <c r="AL78" i="23"/>
  <c r="BA78" i="23"/>
  <c r="AW78" i="23"/>
  <c r="AS78" i="23"/>
  <c r="AO78" i="23"/>
  <c r="AK78" i="23"/>
  <c r="P78" i="23"/>
  <c r="BD78" i="23"/>
  <c r="AZ78" i="23"/>
  <c r="AV78" i="23"/>
  <c r="AR78" i="23"/>
  <c r="AN78" i="23"/>
  <c r="AJ78" i="23"/>
  <c r="BC78" i="23"/>
  <c r="AY78" i="23"/>
  <c r="AU78" i="23"/>
  <c r="AQ78" i="23"/>
  <c r="AM78" i="23"/>
  <c r="AI78" i="23"/>
  <c r="R78" i="23"/>
  <c r="BB82" i="23"/>
  <c r="AX82" i="23"/>
  <c r="AT82" i="23"/>
  <c r="AP82" i="23"/>
  <c r="AL82" i="23"/>
  <c r="BA82" i="23"/>
  <c r="AW82" i="23"/>
  <c r="AS82" i="23"/>
  <c r="AO82" i="23"/>
  <c r="AK82" i="23"/>
  <c r="BD82" i="23"/>
  <c r="AZ82" i="23"/>
  <c r="AV82" i="23"/>
  <c r="AR82" i="23"/>
  <c r="AN82" i="23"/>
  <c r="AJ82" i="23"/>
  <c r="BC82" i="23"/>
  <c r="AY82" i="23"/>
  <c r="AU82" i="23"/>
  <c r="AQ82" i="23"/>
  <c r="AM82" i="23"/>
  <c r="AI82" i="23"/>
  <c r="BB86" i="23"/>
  <c r="AX86" i="23"/>
  <c r="AT86" i="23"/>
  <c r="AP86" i="23"/>
  <c r="AL86" i="23"/>
  <c r="BA86" i="23"/>
  <c r="AW86" i="23"/>
  <c r="AS86" i="23"/>
  <c r="AO86" i="23"/>
  <c r="AK86" i="23"/>
  <c r="AZ86" i="23"/>
  <c r="AR86" i="23"/>
  <c r="AJ86" i="23"/>
  <c r="AY86" i="23"/>
  <c r="AQ86" i="23"/>
  <c r="AI86" i="23"/>
  <c r="BD86" i="23"/>
  <c r="AV86" i="23"/>
  <c r="AN86" i="23"/>
  <c r="BC86" i="23"/>
  <c r="AU86" i="23"/>
  <c r="AM86" i="23"/>
  <c r="BC90" i="23"/>
  <c r="AY90" i="23"/>
  <c r="AU90" i="23"/>
  <c r="AQ90" i="23"/>
  <c r="AM90" i="23"/>
  <c r="AI90" i="23"/>
  <c r="BB90" i="23"/>
  <c r="AX90" i="23"/>
  <c r="AT90" i="23"/>
  <c r="AP90" i="23"/>
  <c r="AL90" i="23"/>
  <c r="BA90" i="23"/>
  <c r="AW90" i="23"/>
  <c r="AS90" i="23"/>
  <c r="AO90" i="23"/>
  <c r="AK90" i="23"/>
  <c r="AZ90" i="23"/>
  <c r="AJ90" i="23"/>
  <c r="AV90" i="23"/>
  <c r="AR90" i="23"/>
  <c r="BD90" i="23"/>
  <c r="AN90" i="23"/>
  <c r="BC94" i="23"/>
  <c r="AY94" i="23"/>
  <c r="AU94" i="23"/>
  <c r="AQ94" i="23"/>
  <c r="AM94" i="23"/>
  <c r="AI94" i="23"/>
  <c r="BB94" i="23"/>
  <c r="AX94" i="23"/>
  <c r="AT94" i="23"/>
  <c r="AP94" i="23"/>
  <c r="AL94" i="23"/>
  <c r="BA94" i="23"/>
  <c r="AW94" i="23"/>
  <c r="AS94" i="23"/>
  <c r="AO94" i="23"/>
  <c r="AK94" i="23"/>
  <c r="AZ94" i="23"/>
  <c r="AJ94" i="23"/>
  <c r="AV94" i="23"/>
  <c r="AR94" i="23"/>
  <c r="BD94" i="23"/>
  <c r="AN94" i="23"/>
  <c r="BA98" i="23"/>
  <c r="AW98" i="23"/>
  <c r="AS98" i="23"/>
  <c r="AO98" i="23"/>
  <c r="AK98" i="23"/>
  <c r="BD98" i="23"/>
  <c r="AZ98" i="23"/>
  <c r="AV98" i="23"/>
  <c r="AR98" i="23"/>
  <c r="AN98" i="23"/>
  <c r="AJ98" i="23"/>
  <c r="BB98" i="23"/>
  <c r="AX98" i="23"/>
  <c r="AT98" i="23"/>
  <c r="AP98" i="23"/>
  <c r="AL98" i="23"/>
  <c r="AY98" i="23"/>
  <c r="AI98" i="23"/>
  <c r="AU98" i="23"/>
  <c r="AQ98" i="23"/>
  <c r="BC98" i="23"/>
  <c r="AM98" i="23"/>
  <c r="BA102" i="23"/>
  <c r="AW102" i="23"/>
  <c r="AS102" i="23"/>
  <c r="AO102" i="23"/>
  <c r="AK102" i="23"/>
  <c r="BD102" i="23"/>
  <c r="AZ102" i="23"/>
  <c r="AV102" i="23"/>
  <c r="AR102" i="23"/>
  <c r="AN102" i="23"/>
  <c r="AJ102" i="23"/>
  <c r="BC102" i="23"/>
  <c r="AY102" i="23"/>
  <c r="AU102" i="23"/>
  <c r="AQ102" i="23"/>
  <c r="AM102" i="23"/>
  <c r="AI102" i="23"/>
  <c r="BB102" i="23"/>
  <c r="AX102" i="23"/>
  <c r="AT102" i="23"/>
  <c r="AP102" i="23"/>
  <c r="AL102" i="23"/>
  <c r="BD59" i="23"/>
  <c r="W8" i="25" s="1"/>
  <c r="AZ59" i="23"/>
  <c r="S8" i="25" s="1"/>
  <c r="AV59" i="23"/>
  <c r="AR59" i="23"/>
  <c r="AN59" i="23"/>
  <c r="AJ59" i="23"/>
  <c r="BC59" i="23"/>
  <c r="AY59" i="23"/>
  <c r="AU59" i="23"/>
  <c r="AQ59" i="23"/>
  <c r="AM59" i="23"/>
  <c r="AI59" i="23"/>
  <c r="BB59" i="23"/>
  <c r="AX59" i="23"/>
  <c r="AT59" i="23"/>
  <c r="AP59" i="23"/>
  <c r="AL59" i="23"/>
  <c r="BA59" i="23"/>
  <c r="AW59" i="23"/>
  <c r="AS59" i="23"/>
  <c r="AO59" i="23"/>
  <c r="AK59" i="23"/>
  <c r="BD63" i="23"/>
  <c r="AZ63" i="23"/>
  <c r="AV63" i="23"/>
  <c r="AR63" i="23"/>
  <c r="AN63" i="23"/>
  <c r="AJ63" i="23"/>
  <c r="BC63" i="23"/>
  <c r="AY63" i="23"/>
  <c r="AU63" i="23"/>
  <c r="AQ63" i="23"/>
  <c r="AM63" i="23"/>
  <c r="AI63" i="23"/>
  <c r="BB63" i="23"/>
  <c r="AX63" i="23"/>
  <c r="AT63" i="23"/>
  <c r="AP63" i="23"/>
  <c r="AL63" i="23"/>
  <c r="BA63" i="23"/>
  <c r="AW63" i="23"/>
  <c r="AS63" i="23"/>
  <c r="AO63" i="23"/>
  <c r="AK63" i="23"/>
  <c r="D8" i="25" s="1"/>
  <c r="BD67" i="23"/>
  <c r="AZ67" i="23"/>
  <c r="AV67" i="23"/>
  <c r="AR67" i="23"/>
  <c r="AN67" i="23"/>
  <c r="AJ67" i="23"/>
  <c r="BC67" i="23"/>
  <c r="AY67" i="23"/>
  <c r="AU67" i="23"/>
  <c r="AQ67" i="23"/>
  <c r="AM67" i="23"/>
  <c r="AI67" i="23"/>
  <c r="BB67" i="23"/>
  <c r="AX67" i="23"/>
  <c r="AT67" i="23"/>
  <c r="AP67" i="23"/>
  <c r="AL67" i="23"/>
  <c r="BA67" i="23"/>
  <c r="AW67" i="23"/>
  <c r="AS67" i="23"/>
  <c r="AO67" i="23"/>
  <c r="AK67" i="23"/>
  <c r="BC71" i="23"/>
  <c r="AZ71" i="23"/>
  <c r="AV71" i="23"/>
  <c r="AR71" i="23"/>
  <c r="AN71" i="23"/>
  <c r="AJ71" i="23"/>
  <c r="BD71" i="23"/>
  <c r="AY71" i="23"/>
  <c r="AU71" i="23"/>
  <c r="AQ71" i="23"/>
  <c r="AM71" i="23"/>
  <c r="AI71" i="23"/>
  <c r="BB71" i="23"/>
  <c r="AX71" i="23"/>
  <c r="AT71" i="23"/>
  <c r="AP71" i="23"/>
  <c r="AL71" i="23"/>
  <c r="BA71" i="23"/>
  <c r="AW71" i="23"/>
  <c r="AS71" i="23"/>
  <c r="AO71" i="23"/>
  <c r="AK71" i="23"/>
  <c r="BB75" i="23"/>
  <c r="AX75" i="23"/>
  <c r="AT75" i="23"/>
  <c r="AP75" i="23"/>
  <c r="AL75" i="23"/>
  <c r="BA75" i="23"/>
  <c r="AW75" i="23"/>
  <c r="AS75" i="23"/>
  <c r="AO75" i="23"/>
  <c r="AK75" i="23"/>
  <c r="P75" i="23"/>
  <c r="BD75" i="23"/>
  <c r="AZ75" i="23"/>
  <c r="AV75" i="23"/>
  <c r="AR75" i="23"/>
  <c r="AN75" i="23"/>
  <c r="AJ75" i="23"/>
  <c r="BC75" i="23"/>
  <c r="AY75" i="23"/>
  <c r="AU75" i="23"/>
  <c r="AQ75" i="23"/>
  <c r="AM75" i="23"/>
  <c r="AI75" i="23"/>
  <c r="R75" i="23"/>
  <c r="BB79" i="23"/>
  <c r="AX79" i="23"/>
  <c r="AT79" i="23"/>
  <c r="AP79" i="23"/>
  <c r="AL79" i="23"/>
  <c r="BA79" i="23"/>
  <c r="AW79" i="23"/>
  <c r="AS79" i="23"/>
  <c r="AO79" i="23"/>
  <c r="AK79" i="23"/>
  <c r="P79" i="23"/>
  <c r="BD79" i="23"/>
  <c r="AZ79" i="23"/>
  <c r="AV79" i="23"/>
  <c r="AR79" i="23"/>
  <c r="AN79" i="23"/>
  <c r="AJ79" i="23"/>
  <c r="BC79" i="23"/>
  <c r="AY79" i="23"/>
  <c r="AU79" i="23"/>
  <c r="AQ79" i="23"/>
  <c r="AM79" i="23"/>
  <c r="AI79" i="23"/>
  <c r="R79" i="23"/>
  <c r="BB83" i="23"/>
  <c r="AX83" i="23"/>
  <c r="AT83" i="23"/>
  <c r="AP83" i="23"/>
  <c r="AL83" i="23"/>
  <c r="BA83" i="23"/>
  <c r="AW83" i="23"/>
  <c r="AS83" i="23"/>
  <c r="AO83" i="23"/>
  <c r="AK83" i="23"/>
  <c r="BD83" i="23"/>
  <c r="AV83" i="23"/>
  <c r="AN83" i="23"/>
  <c r="BC83" i="23"/>
  <c r="AU83" i="23"/>
  <c r="AM83" i="23"/>
  <c r="AZ83" i="23"/>
  <c r="AR83" i="23"/>
  <c r="AJ83" i="23"/>
  <c r="AY83" i="23"/>
  <c r="AQ83" i="23"/>
  <c r="AI83" i="23"/>
  <c r="BB87" i="23"/>
  <c r="AX87" i="23"/>
  <c r="AT87" i="23"/>
  <c r="AP87" i="23"/>
  <c r="AL87" i="23"/>
  <c r="BA87" i="23"/>
  <c r="AW87" i="23"/>
  <c r="AS87" i="23"/>
  <c r="AO87" i="23"/>
  <c r="AK87" i="23"/>
  <c r="BD87" i="23"/>
  <c r="AV87" i="23"/>
  <c r="AN87" i="23"/>
  <c r="BC87" i="23"/>
  <c r="AU87" i="23"/>
  <c r="AM87" i="23"/>
  <c r="AZ87" i="23"/>
  <c r="AR87" i="23"/>
  <c r="AJ87" i="23"/>
  <c r="AY87" i="23"/>
  <c r="AQ87" i="23"/>
  <c r="AI87" i="23"/>
  <c r="BC91" i="23"/>
  <c r="AY91" i="23"/>
  <c r="AU91" i="23"/>
  <c r="AQ91" i="23"/>
  <c r="AM91" i="23"/>
  <c r="AI91" i="23"/>
  <c r="BB91" i="23"/>
  <c r="AX91" i="23"/>
  <c r="AT91" i="23"/>
  <c r="AP91" i="23"/>
  <c r="AL91" i="23"/>
  <c r="BA91" i="23"/>
  <c r="AW91" i="23"/>
  <c r="AS91" i="23"/>
  <c r="AO91" i="23"/>
  <c r="AK91" i="23"/>
  <c r="BD91" i="23"/>
  <c r="AN91" i="23"/>
  <c r="AZ91" i="23"/>
  <c r="AJ91" i="23"/>
  <c r="AV91" i="23"/>
  <c r="AR91" i="23"/>
  <c r="BD95" i="23"/>
  <c r="AZ95" i="23"/>
  <c r="AV95" i="23"/>
  <c r="AR95" i="23"/>
  <c r="AN95" i="23"/>
  <c r="AJ95" i="23"/>
  <c r="BC95" i="23"/>
  <c r="AY95" i="23"/>
  <c r="AU95" i="23"/>
  <c r="AQ95" i="23"/>
  <c r="AM95" i="23"/>
  <c r="AI95" i="23"/>
  <c r="BB95" i="23"/>
  <c r="AX95" i="23"/>
  <c r="AT95" i="23"/>
  <c r="AP95" i="23"/>
  <c r="AL95" i="23"/>
  <c r="BA95" i="23"/>
  <c r="AW95" i="23"/>
  <c r="AS95" i="23"/>
  <c r="AO95" i="23"/>
  <c r="AK95" i="23"/>
  <c r="BA99" i="23"/>
  <c r="AW99" i="23"/>
  <c r="AS99" i="23"/>
  <c r="AO99" i="23"/>
  <c r="AK99" i="23"/>
  <c r="BD99" i="23"/>
  <c r="AZ99" i="23"/>
  <c r="AV99" i="23"/>
  <c r="AR99" i="23"/>
  <c r="AN99" i="23"/>
  <c r="AJ99" i="23"/>
  <c r="BC99" i="23"/>
  <c r="AY99" i="23"/>
  <c r="AU99" i="23"/>
  <c r="BB99" i="23"/>
  <c r="AX99" i="23"/>
  <c r="AT99" i="23"/>
  <c r="AP99" i="23"/>
  <c r="AL99" i="23"/>
  <c r="AM99" i="23"/>
  <c r="AI99" i="23"/>
  <c r="AQ99" i="23"/>
  <c r="BA103" i="23"/>
  <c r="AW103" i="23"/>
  <c r="AS103" i="23"/>
  <c r="AO103" i="23"/>
  <c r="AK103" i="23"/>
  <c r="BD103" i="23"/>
  <c r="AZ103" i="23"/>
  <c r="AV103" i="23"/>
  <c r="AR103" i="23"/>
  <c r="AN103" i="23"/>
  <c r="AJ103" i="23"/>
  <c r="BC103" i="23"/>
  <c r="AY103" i="23"/>
  <c r="AU103" i="23"/>
  <c r="AQ103" i="23"/>
  <c r="AM103" i="23"/>
  <c r="AI103" i="23"/>
  <c r="BB103" i="23"/>
  <c r="AX103" i="23"/>
  <c r="AT103" i="23"/>
  <c r="AP103" i="23"/>
  <c r="AL103" i="23"/>
  <c r="BD60" i="23"/>
  <c r="AZ60" i="23"/>
  <c r="AV60" i="23"/>
  <c r="AR60" i="23"/>
  <c r="AN60" i="23"/>
  <c r="G8" i="25" s="1"/>
  <c r="AJ60" i="23"/>
  <c r="BC60" i="23"/>
  <c r="V8" i="25" s="1"/>
  <c r="AY60" i="23"/>
  <c r="R8" i="25" s="1"/>
  <c r="AU60" i="23"/>
  <c r="AQ60" i="23"/>
  <c r="AM60" i="23"/>
  <c r="AI60" i="23"/>
  <c r="BB60" i="23"/>
  <c r="AX60" i="23"/>
  <c r="AT60" i="23"/>
  <c r="AP60" i="23"/>
  <c r="AL60" i="23"/>
  <c r="BA60" i="23"/>
  <c r="AW60" i="23"/>
  <c r="AS60" i="23"/>
  <c r="AO60" i="23"/>
  <c r="AK60" i="23"/>
  <c r="BD64" i="23"/>
  <c r="AZ64" i="23"/>
  <c r="AV64" i="23"/>
  <c r="AR64" i="23"/>
  <c r="AN64" i="23"/>
  <c r="AJ64" i="23"/>
  <c r="C8" i="25" s="1"/>
  <c r="BC64" i="23"/>
  <c r="AY64" i="23"/>
  <c r="AU64" i="23"/>
  <c r="N8" i="25" s="1"/>
  <c r="AQ64" i="23"/>
  <c r="AM64" i="23"/>
  <c r="AI64" i="23"/>
  <c r="BB64" i="23"/>
  <c r="U8" i="25" s="1"/>
  <c r="AX64" i="23"/>
  <c r="AT64" i="23"/>
  <c r="AP64" i="23"/>
  <c r="AL64" i="23"/>
  <c r="BA64" i="23"/>
  <c r="AW64" i="23"/>
  <c r="AS64" i="23"/>
  <c r="AO64" i="23"/>
  <c r="AK64" i="23"/>
  <c r="BD68" i="23"/>
  <c r="AZ68" i="23"/>
  <c r="AV68" i="23"/>
  <c r="AR68" i="23"/>
  <c r="AN68" i="23"/>
  <c r="AJ68" i="23"/>
  <c r="BC68" i="23"/>
  <c r="AY68" i="23"/>
  <c r="AU68" i="23"/>
  <c r="AQ68" i="23"/>
  <c r="AM68" i="23"/>
  <c r="AI68" i="23"/>
  <c r="BB68" i="23"/>
  <c r="AX68" i="23"/>
  <c r="AT68" i="23"/>
  <c r="AP68" i="23"/>
  <c r="AL68" i="23"/>
  <c r="BA68" i="23"/>
  <c r="AW68" i="23"/>
  <c r="AS68" i="23"/>
  <c r="AO68" i="23"/>
  <c r="AK68" i="23"/>
  <c r="BA72" i="23"/>
  <c r="AW72" i="23"/>
  <c r="AS72" i="23"/>
  <c r="AO72" i="23"/>
  <c r="AK72" i="23"/>
  <c r="BD72" i="23"/>
  <c r="AZ72" i="23"/>
  <c r="AV72" i="23"/>
  <c r="AR72" i="23"/>
  <c r="AN72" i="23"/>
  <c r="AJ72" i="23"/>
  <c r="BC72" i="23"/>
  <c r="AY72" i="23"/>
  <c r="AU72" i="23"/>
  <c r="AQ72" i="23"/>
  <c r="AM72" i="23"/>
  <c r="AI72" i="23"/>
  <c r="AP72" i="23"/>
  <c r="BB72" i="23"/>
  <c r="AL72" i="23"/>
  <c r="AX72" i="23"/>
  <c r="AT72" i="23"/>
  <c r="BB76" i="23"/>
  <c r="AX76" i="23"/>
  <c r="AT76" i="23"/>
  <c r="AP76" i="23"/>
  <c r="AL76" i="23"/>
  <c r="BA76" i="23"/>
  <c r="AW76" i="23"/>
  <c r="AS76" i="23"/>
  <c r="AO76" i="23"/>
  <c r="AK76" i="23"/>
  <c r="P76" i="23"/>
  <c r="BD76" i="23"/>
  <c r="AZ76" i="23"/>
  <c r="AV76" i="23"/>
  <c r="AR76" i="23"/>
  <c r="AN76" i="23"/>
  <c r="AJ76" i="23"/>
  <c r="BC76" i="23"/>
  <c r="AY76" i="23"/>
  <c r="AU76" i="23"/>
  <c r="AQ76" i="23"/>
  <c r="AM76" i="23"/>
  <c r="AI76" i="23"/>
  <c r="R76" i="23"/>
  <c r="BB80" i="23"/>
  <c r="AX80" i="23"/>
  <c r="AT80" i="23"/>
  <c r="AP80" i="23"/>
  <c r="AL80" i="23"/>
  <c r="BA80" i="23"/>
  <c r="AW80" i="23"/>
  <c r="AS80" i="23"/>
  <c r="AO80" i="23"/>
  <c r="AK80" i="23"/>
  <c r="P80" i="23"/>
  <c r="BD80" i="23"/>
  <c r="AZ80" i="23"/>
  <c r="AV80" i="23"/>
  <c r="AR80" i="23"/>
  <c r="AN80" i="23"/>
  <c r="AJ80" i="23"/>
  <c r="BC80" i="23"/>
  <c r="AY80" i="23"/>
  <c r="AU80" i="23"/>
  <c r="AQ80" i="23"/>
  <c r="AM80" i="23"/>
  <c r="AI80" i="23"/>
  <c r="R80" i="23"/>
  <c r="BB84" i="23"/>
  <c r="AX84" i="23"/>
  <c r="AT84" i="23"/>
  <c r="AP84" i="23"/>
  <c r="AL84" i="23"/>
  <c r="BA84" i="23"/>
  <c r="AW84" i="23"/>
  <c r="AS84" i="23"/>
  <c r="AO84" i="23"/>
  <c r="AK84" i="23"/>
  <c r="AZ84" i="23"/>
  <c r="AR84" i="23"/>
  <c r="AJ84" i="23"/>
  <c r="AY84" i="23"/>
  <c r="AQ84" i="23"/>
  <c r="AI84" i="23"/>
  <c r="BD84" i="23"/>
  <c r="AV84" i="23"/>
  <c r="AN84" i="23"/>
  <c r="BC84" i="23"/>
  <c r="AU84" i="23"/>
  <c r="AM84" i="23"/>
  <c r="BC88" i="23"/>
  <c r="AY88" i="23"/>
  <c r="AU88" i="23"/>
  <c r="BB88" i="23"/>
  <c r="AX88" i="23"/>
  <c r="AT88" i="23"/>
  <c r="AP88" i="23"/>
  <c r="AL88" i="23"/>
  <c r="BA88" i="23"/>
  <c r="AW88" i="23"/>
  <c r="AS88" i="23"/>
  <c r="AO88" i="23"/>
  <c r="AK88" i="23"/>
  <c r="AR88" i="23"/>
  <c r="AJ88" i="23"/>
  <c r="BD88" i="23"/>
  <c r="AQ88" i="23"/>
  <c r="AI88" i="23"/>
  <c r="AZ88" i="23"/>
  <c r="AN88" i="23"/>
  <c r="AV88" i="23"/>
  <c r="AM88" i="23"/>
  <c r="BC92" i="23"/>
  <c r="AY92" i="23"/>
  <c r="AU92" i="23"/>
  <c r="AQ92" i="23"/>
  <c r="AM92" i="23"/>
  <c r="AI92" i="23"/>
  <c r="BB92" i="23"/>
  <c r="AX92" i="23"/>
  <c r="AT92" i="23"/>
  <c r="AP92" i="23"/>
  <c r="AL92" i="23"/>
  <c r="BA92" i="23"/>
  <c r="AW92" i="23"/>
  <c r="AS92" i="23"/>
  <c r="AO92" i="23"/>
  <c r="AK92" i="23"/>
  <c r="AR92" i="23"/>
  <c r="BD92" i="23"/>
  <c r="AN92" i="23"/>
  <c r="AZ92" i="23"/>
  <c r="AJ92" i="23"/>
  <c r="AV92" i="23"/>
  <c r="BD96" i="23"/>
  <c r="AZ96" i="23"/>
  <c r="AV96" i="23"/>
  <c r="AR96" i="23"/>
  <c r="AN96" i="23"/>
  <c r="AJ96" i="23"/>
  <c r="BC96" i="23"/>
  <c r="AY96" i="23"/>
  <c r="AU96" i="23"/>
  <c r="AQ96" i="23"/>
  <c r="AM96" i="23"/>
  <c r="AI96" i="23"/>
  <c r="BB96" i="23"/>
  <c r="AX96" i="23"/>
  <c r="AT96" i="23"/>
  <c r="AP96" i="23"/>
  <c r="AL96" i="23"/>
  <c r="BA96" i="23"/>
  <c r="AW96" i="23"/>
  <c r="AS96" i="23"/>
  <c r="AO96" i="23"/>
  <c r="AK96" i="23"/>
  <c r="BA100" i="23"/>
  <c r="AW100" i="23"/>
  <c r="AS100" i="23"/>
  <c r="AO100" i="23"/>
  <c r="AK100" i="23"/>
  <c r="BD100" i="23"/>
  <c r="AZ100" i="23"/>
  <c r="AV100" i="23"/>
  <c r="AR100" i="23"/>
  <c r="AN100" i="23"/>
  <c r="AJ100" i="23"/>
  <c r="BC100" i="23"/>
  <c r="AY100" i="23"/>
  <c r="AU100" i="23"/>
  <c r="AQ100" i="23"/>
  <c r="AM100" i="23"/>
  <c r="AI100" i="23"/>
  <c r="BB100" i="23"/>
  <c r="AX100" i="23"/>
  <c r="AT100" i="23"/>
  <c r="AP100" i="23"/>
  <c r="AL100" i="23"/>
  <c r="E10" i="26"/>
  <c r="AE48" i="24"/>
  <c r="AA48" i="24"/>
  <c r="E8" i="26" s="1"/>
  <c r="AH48" i="24"/>
  <c r="AC48" i="24"/>
  <c r="X48" i="24"/>
  <c r="AG48" i="24"/>
  <c r="AB48" i="24"/>
  <c r="F8" i="26" s="1"/>
  <c r="AE52" i="24"/>
  <c r="AA52" i="24"/>
  <c r="AH52" i="24"/>
  <c r="AD52" i="24"/>
  <c r="AC52" i="24"/>
  <c r="X52" i="24"/>
  <c r="AG52" i="24"/>
  <c r="Z52" i="24"/>
  <c r="AF52" i="24"/>
  <c r="Y52" i="24"/>
  <c r="AE56" i="24"/>
  <c r="AA56" i="24"/>
  <c r="AH56" i="24"/>
  <c r="AD56" i="24"/>
  <c r="Z56" i="24"/>
  <c r="AC56" i="24"/>
  <c r="AG56" i="24"/>
  <c r="Y56" i="24"/>
  <c r="AF56" i="24"/>
  <c r="X56" i="24"/>
  <c r="AE60" i="24"/>
  <c r="AA60" i="24"/>
  <c r="AH60" i="24"/>
  <c r="AD60" i="24"/>
  <c r="Z60" i="24"/>
  <c r="AC60" i="24"/>
  <c r="AG60" i="24"/>
  <c r="Y60" i="24"/>
  <c r="AF60" i="24"/>
  <c r="X60" i="24"/>
  <c r="AE64" i="24"/>
  <c r="AA64" i="24"/>
  <c r="AH64" i="24"/>
  <c r="AD64" i="24"/>
  <c r="Z64" i="24"/>
  <c r="AC64" i="24"/>
  <c r="AG64" i="24"/>
  <c r="Y64" i="24"/>
  <c r="AF64" i="24"/>
  <c r="X64" i="24"/>
  <c r="AE68" i="24"/>
  <c r="AA68" i="24"/>
  <c r="AH68" i="24"/>
  <c r="AD68" i="24"/>
  <c r="Z68" i="24"/>
  <c r="AC68" i="24"/>
  <c r="AB68" i="24"/>
  <c r="AG68" i="24"/>
  <c r="Y68" i="24"/>
  <c r="AF68" i="24"/>
  <c r="X68" i="24"/>
  <c r="AF72" i="24"/>
  <c r="AB72" i="24"/>
  <c r="X72" i="24"/>
  <c r="AG72" i="24"/>
  <c r="AA72" i="24"/>
  <c r="AE72" i="24"/>
  <c r="Z72" i="24"/>
  <c r="Y72" i="24"/>
  <c r="AH72" i="24"/>
  <c r="AD72" i="24"/>
  <c r="AC72" i="24"/>
  <c r="AF76" i="24"/>
  <c r="AB76" i="24"/>
  <c r="X76" i="24"/>
  <c r="AE76" i="24"/>
  <c r="AA76" i="24"/>
  <c r="AD76" i="24"/>
  <c r="AC76" i="24"/>
  <c r="AH76" i="24"/>
  <c r="AG76" i="24"/>
  <c r="Z76" i="24"/>
  <c r="Y76" i="24"/>
  <c r="AF80" i="24"/>
  <c r="AB80" i="24"/>
  <c r="X80" i="24"/>
  <c r="AE80" i="24"/>
  <c r="AA80" i="24"/>
  <c r="AD80" i="24"/>
  <c r="AC80" i="24"/>
  <c r="Z80" i="24"/>
  <c r="Y80" i="24"/>
  <c r="AH80" i="24"/>
  <c r="AG80" i="24"/>
  <c r="AF47" i="24"/>
  <c r="AF48" i="24"/>
  <c r="AH50" i="24"/>
  <c r="AH51" i="24"/>
  <c r="X54" i="24"/>
  <c r="AH55" i="24"/>
  <c r="AB64" i="24"/>
  <c r="AG49" i="24"/>
  <c r="AC49" i="24"/>
  <c r="Y49" i="24"/>
  <c r="AE49" i="24"/>
  <c r="AH49" i="24"/>
  <c r="AB49" i="24"/>
  <c r="AF49" i="24"/>
  <c r="AA49" i="24"/>
  <c r="AG53" i="24"/>
  <c r="AC53" i="24"/>
  <c r="Y53" i="24"/>
  <c r="AF53" i="24"/>
  <c r="AB53" i="24"/>
  <c r="X53" i="24"/>
  <c r="AE53" i="24"/>
  <c r="AA53" i="24"/>
  <c r="AH53" i="24"/>
  <c r="Z53" i="24"/>
  <c r="AG57" i="24"/>
  <c r="AC57" i="24"/>
  <c r="Y57" i="24"/>
  <c r="AF57" i="24"/>
  <c r="AB57" i="24"/>
  <c r="X57" i="24"/>
  <c r="AE57" i="24"/>
  <c r="AA57" i="24"/>
  <c r="AH57" i="24"/>
  <c r="Z57" i="24"/>
  <c r="AG61" i="24"/>
  <c r="AC61" i="24"/>
  <c r="Y61" i="24"/>
  <c r="AF61" i="24"/>
  <c r="AB61" i="24"/>
  <c r="X61" i="24"/>
  <c r="AE61" i="24"/>
  <c r="AA61" i="24"/>
  <c r="AH61" i="24"/>
  <c r="Z61" i="24"/>
  <c r="AG65" i="24"/>
  <c r="AC65" i="24"/>
  <c r="Y65" i="24"/>
  <c r="AF65" i="24"/>
  <c r="AB65" i="24"/>
  <c r="X65" i="24"/>
  <c r="AE65" i="24"/>
  <c r="AA65" i="24"/>
  <c r="AH65" i="24"/>
  <c r="Z65" i="24"/>
  <c r="AG69" i="24"/>
  <c r="AC69" i="24"/>
  <c r="Y69" i="24"/>
  <c r="AF69" i="24"/>
  <c r="AB69" i="24"/>
  <c r="X69" i="24"/>
  <c r="AE69" i="24"/>
  <c r="AD69" i="24"/>
  <c r="AA69" i="24"/>
  <c r="AH69" i="24"/>
  <c r="Z69" i="24"/>
  <c r="AH73" i="24"/>
  <c r="AD73" i="24"/>
  <c r="Z73" i="24"/>
  <c r="AG73" i="24"/>
  <c r="AF73" i="24"/>
  <c r="AA73" i="24"/>
  <c r="AE73" i="24"/>
  <c r="Y73" i="24"/>
  <c r="X73" i="24"/>
  <c r="AC73" i="24"/>
  <c r="AB73" i="24"/>
  <c r="AH77" i="24"/>
  <c r="AD77" i="24"/>
  <c r="Z77" i="24"/>
  <c r="AG77" i="24"/>
  <c r="AC77" i="24"/>
  <c r="Y77" i="24"/>
  <c r="AF77" i="24"/>
  <c r="X77" i="24"/>
  <c r="AE77" i="24"/>
  <c r="AB77" i="24"/>
  <c r="AA77" i="24"/>
  <c r="AH81" i="24"/>
  <c r="AD81" i="24"/>
  <c r="Z81" i="24"/>
  <c r="AG81" i="24"/>
  <c r="AC81" i="24"/>
  <c r="Y81" i="24"/>
  <c r="AF81" i="24"/>
  <c r="X81" i="24"/>
  <c r="AE81" i="24"/>
  <c r="AB81" i="24"/>
  <c r="AA81" i="24"/>
  <c r="Z47" i="24"/>
  <c r="Y48" i="24"/>
  <c r="X49" i="24"/>
  <c r="AD57" i="24"/>
  <c r="AB60" i="24"/>
  <c r="Z63" i="24"/>
  <c r="AE50" i="24"/>
  <c r="AA50" i="24"/>
  <c r="AD50" i="24"/>
  <c r="Y50" i="24"/>
  <c r="AG50" i="24"/>
  <c r="AB50" i="24"/>
  <c r="AF50" i="24"/>
  <c r="Z50" i="24"/>
  <c r="AE54" i="24"/>
  <c r="AA54" i="24"/>
  <c r="AH54" i="24"/>
  <c r="AD54" i="24"/>
  <c r="Z54" i="24"/>
  <c r="AG54" i="24"/>
  <c r="Y54" i="24"/>
  <c r="AC54" i="24"/>
  <c r="AB54" i="24"/>
  <c r="AE58" i="24"/>
  <c r="AA58" i="24"/>
  <c r="AH58" i="24"/>
  <c r="AD58" i="24"/>
  <c r="Z58" i="24"/>
  <c r="AG58" i="24"/>
  <c r="Y58" i="24"/>
  <c r="AC58" i="24"/>
  <c r="AB58" i="24"/>
  <c r="AE62" i="24"/>
  <c r="AA62" i="24"/>
  <c r="AH62" i="24"/>
  <c r="AD62" i="24"/>
  <c r="Z62" i="24"/>
  <c r="AG62" i="24"/>
  <c r="Y62" i="24"/>
  <c r="AC62" i="24"/>
  <c r="AB62" i="24"/>
  <c r="AE66" i="24"/>
  <c r="AA66" i="24"/>
  <c r="AH66" i="24"/>
  <c r="AD66" i="24"/>
  <c r="Z66" i="24"/>
  <c r="AG66" i="24"/>
  <c r="Y66" i="24"/>
  <c r="AC66" i="24"/>
  <c r="AB66" i="24"/>
  <c r="AE70" i="24"/>
  <c r="AA70" i="24"/>
  <c r="AH70" i="24"/>
  <c r="AD70" i="24"/>
  <c r="Z70" i="24"/>
  <c r="AG70" i="24"/>
  <c r="Y70" i="24"/>
  <c r="AF70" i="24"/>
  <c r="X70" i="24"/>
  <c r="AC70" i="24"/>
  <c r="AB70" i="24"/>
  <c r="AF74" i="24"/>
  <c r="AB74" i="24"/>
  <c r="X74" i="24"/>
  <c r="AE74" i="24"/>
  <c r="AA74" i="24"/>
  <c r="AH74" i="24"/>
  <c r="Z74" i="24"/>
  <c r="AG74" i="24"/>
  <c r="Y74" i="24"/>
  <c r="AD74" i="24"/>
  <c r="AC74" i="24"/>
  <c r="AF78" i="24"/>
  <c r="AB78" i="24"/>
  <c r="X78" i="24"/>
  <c r="AE78" i="24"/>
  <c r="AA78" i="24"/>
  <c r="AH78" i="24"/>
  <c r="Z78" i="24"/>
  <c r="AG78" i="24"/>
  <c r="Y78" i="24"/>
  <c r="AD78" i="24"/>
  <c r="AC78" i="24"/>
  <c r="AF82" i="24"/>
  <c r="AB82" i="24"/>
  <c r="X82" i="24"/>
  <c r="AE82" i="24"/>
  <c r="AA82" i="24"/>
  <c r="AH82" i="24"/>
  <c r="Z82" i="24"/>
  <c r="AG82" i="24"/>
  <c r="Y82" i="24"/>
  <c r="AD82" i="24"/>
  <c r="AC82" i="24"/>
  <c r="Z48" i="24"/>
  <c r="D8" i="26" s="1"/>
  <c r="Z49" i="24"/>
  <c r="X50" i="24"/>
  <c r="AD53" i="24"/>
  <c r="AB56" i="24"/>
  <c r="X62" i="24"/>
  <c r="AF66" i="24"/>
  <c r="AG47" i="24"/>
  <c r="AC47" i="24"/>
  <c r="AD47" i="24"/>
  <c r="Y47" i="24"/>
  <c r="AH47" i="24"/>
  <c r="AB47" i="24"/>
  <c r="X47" i="24"/>
  <c r="AG51" i="24"/>
  <c r="AC51" i="24"/>
  <c r="Y51" i="24"/>
  <c r="AD51" i="24"/>
  <c r="X51" i="24"/>
  <c r="AF51" i="24"/>
  <c r="AA51" i="24"/>
  <c r="AE51" i="24"/>
  <c r="Z51" i="24"/>
  <c r="AG55" i="24"/>
  <c r="AC55" i="24"/>
  <c r="Y55" i="24"/>
  <c r="AF55" i="24"/>
  <c r="AB55" i="24"/>
  <c r="X55" i="24"/>
  <c r="AA55" i="24"/>
  <c r="AE55" i="24"/>
  <c r="AD55" i="24"/>
  <c r="AG59" i="24"/>
  <c r="AC59" i="24"/>
  <c r="Y59" i="24"/>
  <c r="AF59" i="24"/>
  <c r="AB59" i="24"/>
  <c r="X59" i="24"/>
  <c r="AA59" i="24"/>
  <c r="AE59" i="24"/>
  <c r="AD59" i="24"/>
  <c r="AG63" i="24"/>
  <c r="AC63" i="24"/>
  <c r="Y63" i="24"/>
  <c r="AF63" i="24"/>
  <c r="AB63" i="24"/>
  <c r="X63" i="24"/>
  <c r="AA63" i="24"/>
  <c r="AE63" i="24"/>
  <c r="AD63" i="24"/>
  <c r="AG67" i="24"/>
  <c r="AC67" i="24"/>
  <c r="Y67" i="24"/>
  <c r="AF67" i="24"/>
  <c r="AB67" i="24"/>
  <c r="X67" i="24"/>
  <c r="AA67" i="24"/>
  <c r="AH67" i="24"/>
  <c r="AE67" i="24"/>
  <c r="AD67" i="24"/>
  <c r="AH71" i="24"/>
  <c r="AG71" i="24"/>
  <c r="AC71" i="24"/>
  <c r="Y71" i="24"/>
  <c r="AF71" i="24"/>
  <c r="AB71" i="24"/>
  <c r="X71" i="24"/>
  <c r="AA71" i="24"/>
  <c r="Z71" i="24"/>
  <c r="AE71" i="24"/>
  <c r="AD71" i="24"/>
  <c r="AH75" i="24"/>
  <c r="AD75" i="24"/>
  <c r="Z75" i="24"/>
  <c r="AG75" i="24"/>
  <c r="AC75" i="24"/>
  <c r="Y75" i="24"/>
  <c r="AB75" i="24"/>
  <c r="AA75" i="24"/>
  <c r="X75" i="24"/>
  <c r="AF75" i="24"/>
  <c r="AE75" i="24"/>
  <c r="AH79" i="24"/>
  <c r="AD79" i="24"/>
  <c r="Z79" i="24"/>
  <c r="AG79" i="24"/>
  <c r="AC79" i="24"/>
  <c r="Y79" i="24"/>
  <c r="AB79" i="24"/>
  <c r="AA79" i="24"/>
  <c r="AF79" i="24"/>
  <c r="AE79" i="24"/>
  <c r="X79" i="24"/>
  <c r="AH83" i="24"/>
  <c r="AD83" i="24"/>
  <c r="Z83" i="24"/>
  <c r="AG83" i="24"/>
  <c r="AC83" i="24"/>
  <c r="Y83" i="24"/>
  <c r="AB83" i="24"/>
  <c r="AA83" i="24"/>
  <c r="X83" i="24"/>
  <c r="AF83" i="24"/>
  <c r="AE83" i="24"/>
  <c r="AE47" i="24"/>
  <c r="AD48" i="24"/>
  <c r="H8" i="26" s="1"/>
  <c r="AD49" i="24"/>
  <c r="AC50" i="24"/>
  <c r="AB51" i="24"/>
  <c r="AB52" i="24"/>
  <c r="Z55" i="24"/>
  <c r="X58" i="24"/>
  <c r="AH59" i="24"/>
  <c r="AF62" i="24"/>
  <c r="AD65" i="24"/>
  <c r="L8" i="25"/>
  <c r="O8" i="25"/>
  <c r="M8" i="25"/>
  <c r="K8" i="25"/>
  <c r="H8" i="25"/>
  <c r="B8" i="26"/>
  <c r="J8" i="26"/>
  <c r="L8" i="26"/>
  <c r="K8" i="26"/>
  <c r="AJ6" i="21"/>
  <c r="Z8" i="21"/>
  <c r="AH8" i="21" s="1"/>
  <c r="Z13" i="21"/>
  <c r="AH13" i="21" s="1"/>
  <c r="AJ8" i="21"/>
  <c r="AJ13" i="21"/>
  <c r="Z3" i="21"/>
  <c r="AH3" i="21" s="1"/>
  <c r="AJ5" i="21"/>
  <c r="Z6" i="21"/>
  <c r="AH6" i="21" s="1"/>
  <c r="AJ3" i="21"/>
  <c r="Z4" i="21"/>
  <c r="AH4" i="21" s="1"/>
  <c r="Z5" i="21"/>
  <c r="AH5" i="21" s="1"/>
  <c r="U10" i="21"/>
  <c r="AI10" i="21" s="1"/>
  <c r="U9" i="21"/>
  <c r="AI9" i="21" s="1"/>
  <c r="R9" i="21"/>
  <c r="R10" i="21"/>
  <c r="U11" i="21"/>
  <c r="AI11" i="21" s="1"/>
  <c r="R11" i="21"/>
  <c r="M380" i="21"/>
  <c r="U12" i="21" s="1"/>
  <c r="AI12" i="21" s="1"/>
  <c r="AT5" i="16"/>
  <c r="AT8" i="16" s="1"/>
  <c r="AC49" i="17"/>
  <c r="AC65" i="17"/>
  <c r="AC67" i="17"/>
  <c r="AC75" i="17"/>
  <c r="AC4" i="17"/>
  <c r="AC8" i="17"/>
  <c r="AC12" i="17"/>
  <c r="AC16" i="17"/>
  <c r="AC20" i="17"/>
  <c r="AC24" i="17"/>
  <c r="AC28" i="17"/>
  <c r="AC32" i="17"/>
  <c r="AC36" i="17"/>
  <c r="AC40" i="17"/>
  <c r="AC44" i="17"/>
  <c r="AC60" i="17"/>
  <c r="AC68" i="17"/>
  <c r="AC76" i="17"/>
  <c r="AC84" i="17"/>
  <c r="AC92" i="17"/>
  <c r="AC101" i="17"/>
  <c r="AC117" i="17"/>
  <c r="AC133" i="17"/>
  <c r="AC149" i="17"/>
  <c r="AC98" i="17"/>
  <c r="AC129" i="17"/>
  <c r="AC5" i="17"/>
  <c r="AC9" i="17"/>
  <c r="AC13" i="17"/>
  <c r="AC17" i="17"/>
  <c r="AC21" i="17"/>
  <c r="AC29" i="17"/>
  <c r="AC33" i="17"/>
  <c r="AC37" i="17"/>
  <c r="AC41" i="17"/>
  <c r="AC45" i="17"/>
  <c r="AC46" i="17"/>
  <c r="AC53" i="17"/>
  <c r="AC54" i="17"/>
  <c r="AC61" i="17"/>
  <c r="AC63" i="17"/>
  <c r="AC69" i="17"/>
  <c r="AC71" i="17"/>
  <c r="AC77" i="17"/>
  <c r="AC79" i="17"/>
  <c r="AC85" i="17"/>
  <c r="AC87" i="17"/>
  <c r="AC93" i="17"/>
  <c r="AC94" i="17"/>
  <c r="AC105" i="17"/>
  <c r="AC121" i="17"/>
  <c r="AC137" i="17"/>
  <c r="AJ8" i="16"/>
  <c r="AC50" i="17"/>
  <c r="AC57" i="17"/>
  <c r="AC59" i="17"/>
  <c r="AC73" i="17"/>
  <c r="AC81" i="17"/>
  <c r="AC83" i="17"/>
  <c r="AC89" i="17"/>
  <c r="AC91" i="17"/>
  <c r="AC97" i="17"/>
  <c r="AC113" i="17"/>
  <c r="AC145" i="17"/>
  <c r="AC2" i="17"/>
  <c r="AC6" i="17"/>
  <c r="AC10" i="17"/>
  <c r="AC14" i="17"/>
  <c r="AC18" i="17"/>
  <c r="AC22" i="17"/>
  <c r="AC26" i="17"/>
  <c r="AC30" i="17"/>
  <c r="AC34" i="17"/>
  <c r="AC38" i="17"/>
  <c r="AC42" i="17"/>
  <c r="AC64" i="17"/>
  <c r="AC72" i="17"/>
  <c r="AC80" i="17"/>
  <c r="AC88" i="17"/>
  <c r="AC109" i="17"/>
  <c r="AC125" i="17"/>
  <c r="AC141" i="17"/>
  <c r="AO8" i="16"/>
  <c r="AC102" i="17"/>
  <c r="AC106" i="17"/>
  <c r="AC110" i="17"/>
  <c r="AC114" i="17"/>
  <c r="AC118" i="17"/>
  <c r="AC122" i="17"/>
  <c r="AC126" i="17"/>
  <c r="AC130" i="17"/>
  <c r="AC134" i="17"/>
  <c r="AC138" i="17"/>
  <c r="AC142" i="17"/>
  <c r="AC146" i="17"/>
  <c r="AC150" i="17"/>
  <c r="AC47" i="17"/>
  <c r="AC51" i="17"/>
  <c r="AC55" i="17"/>
  <c r="AC95" i="17"/>
  <c r="AC99" i="17"/>
  <c r="AC103" i="17"/>
  <c r="AC107" i="17"/>
  <c r="AC111" i="17"/>
  <c r="AC115" i="17"/>
  <c r="AC119" i="17"/>
  <c r="AC123" i="17"/>
  <c r="AC127" i="17"/>
  <c r="AC131" i="17"/>
  <c r="AC135" i="17"/>
  <c r="AC139" i="17"/>
  <c r="AC143" i="17"/>
  <c r="AC147" i="17"/>
  <c r="AC151" i="17"/>
  <c r="AT7" i="16"/>
  <c r="AC48" i="17"/>
  <c r="AC52" i="17"/>
  <c r="AC56" i="17"/>
  <c r="AC96" i="17"/>
  <c r="AC100" i="17"/>
  <c r="AC104" i="17"/>
  <c r="AC108" i="17"/>
  <c r="AC112" i="17"/>
  <c r="AC116" i="17"/>
  <c r="AC120" i="17"/>
  <c r="AC124" i="17"/>
  <c r="AC128" i="17"/>
  <c r="AC132" i="17"/>
  <c r="AC136" i="17"/>
  <c r="AC140" i="17"/>
  <c r="AC144" i="17"/>
  <c r="AC148" i="17"/>
  <c r="AC152" i="17"/>
  <c r="AI55" i="6"/>
  <c r="AI60" i="6" s="1"/>
  <c r="AI24" i="7" s="1"/>
  <c r="AL54" i="9"/>
  <c r="AL54" i="7"/>
  <c r="AL54" i="8"/>
  <c r="AB54" i="9"/>
  <c r="AB54" i="8"/>
  <c r="AB54" i="7"/>
  <c r="AI54" i="8"/>
  <c r="AI54" i="9"/>
  <c r="AI54" i="7"/>
  <c r="AG54" i="8"/>
  <c r="AG54" i="9"/>
  <c r="AG54" i="7"/>
  <c r="W45" i="13"/>
  <c r="W45" i="12"/>
  <c r="W45" i="11"/>
  <c r="W45" i="10"/>
  <c r="AA46" i="13"/>
  <c r="AA46" i="12"/>
  <c r="AA46" i="10"/>
  <c r="AA46" i="11"/>
  <c r="AJ55" i="9"/>
  <c r="AJ55" i="8"/>
  <c r="Z46" i="13"/>
  <c r="Z46" i="12"/>
  <c r="Z46" i="11"/>
  <c r="Z46" i="10"/>
  <c r="AF54" i="9"/>
  <c r="AF54" i="8"/>
  <c r="AF54" i="7"/>
  <c r="AD54" i="9"/>
  <c r="AD54" i="8"/>
  <c r="AD54" i="7"/>
  <c r="AG56" i="9"/>
  <c r="AG56" i="8"/>
  <c r="Y44" i="13"/>
  <c r="Y44" i="12"/>
  <c r="Y44" i="10"/>
  <c r="Y44" i="11"/>
  <c r="R44" i="13"/>
  <c r="R44" i="12"/>
  <c r="R44" i="11"/>
  <c r="R44" i="10"/>
  <c r="Z56" i="9"/>
  <c r="Z56" i="8"/>
  <c r="Z56" i="7"/>
  <c r="Z58" i="6"/>
  <c r="AI55" i="9"/>
  <c r="AI55" i="8"/>
  <c r="AI55" i="7"/>
  <c r="E28" i="5"/>
  <c r="AI57" i="6"/>
  <c r="AJ56" i="9"/>
  <c r="AJ56" i="8"/>
  <c r="AJ56" i="7"/>
  <c r="R11" i="5"/>
  <c r="P17" i="5"/>
  <c r="P54" i="9"/>
  <c r="P54" i="8"/>
  <c r="P58" i="8" s="1"/>
  <c r="P54" i="7"/>
  <c r="W56" i="6"/>
  <c r="AC54" i="8"/>
  <c r="AC58" i="8" s="1"/>
  <c r="AC54" i="9"/>
  <c r="AC54" i="7"/>
  <c r="AJ55" i="7"/>
  <c r="AD55" i="9"/>
  <c r="AD55" i="7"/>
  <c r="AD55" i="8"/>
  <c r="AJ57" i="6"/>
  <c r="V56" i="9"/>
  <c r="F18" i="5"/>
  <c r="V56" i="8"/>
  <c r="V56" i="7"/>
  <c r="V58" i="6"/>
  <c r="X54" i="9"/>
  <c r="X54" i="8"/>
  <c r="X58" i="8" s="1"/>
  <c r="X54" i="7"/>
  <c r="AH54" i="9"/>
  <c r="AH54" i="8"/>
  <c r="AH54" i="7"/>
  <c r="Z54" i="9"/>
  <c r="Z54" i="7"/>
  <c r="Z54" i="8"/>
  <c r="Z58" i="8" s="1"/>
  <c r="U54" i="8"/>
  <c r="U58" i="8" s="1"/>
  <c r="U54" i="9"/>
  <c r="U54" i="7"/>
  <c r="AJ54" i="9"/>
  <c r="AJ54" i="8"/>
  <c r="AJ58" i="8" s="1"/>
  <c r="AJ54" i="7"/>
  <c r="P16" i="5"/>
  <c r="R10" i="5"/>
  <c r="AG58" i="6"/>
  <c r="AJ58" i="6"/>
  <c r="AG56" i="7"/>
  <c r="O54" i="8"/>
  <c r="O58" i="8" s="1"/>
  <c r="O54" i="9"/>
  <c r="O54" i="7"/>
  <c r="S54" i="8"/>
  <c r="S54" i="9"/>
  <c r="S54" i="7"/>
  <c r="AA54" i="8"/>
  <c r="AA58" i="8" s="1"/>
  <c r="AA54" i="9"/>
  <c r="AA54" i="7"/>
  <c r="AB55" i="9"/>
  <c r="AB55" i="8"/>
  <c r="Y46" i="13"/>
  <c r="Y46" i="12"/>
  <c r="Y46" i="11"/>
  <c r="Y46" i="10"/>
  <c r="AA56" i="9"/>
  <c r="AA56" i="8"/>
  <c r="F28" i="5"/>
  <c r="AI56" i="9"/>
  <c r="AI56" i="8"/>
  <c r="D45" i="5"/>
  <c r="Z44" i="13"/>
  <c r="Z44" i="12"/>
  <c r="Z44" i="11"/>
  <c r="Z44" i="10"/>
  <c r="Z47" i="10" s="1"/>
  <c r="M13" i="6"/>
  <c r="M25" i="6"/>
  <c r="M54" i="8"/>
  <c r="M58" i="8" s="1"/>
  <c r="M54" i="9"/>
  <c r="M54" i="7"/>
  <c r="R54" i="9"/>
  <c r="R54" i="8"/>
  <c r="R58" i="8" s="1"/>
  <c r="R54" i="7"/>
  <c r="AB57" i="6"/>
  <c r="AE54" i="8"/>
  <c r="AE54" i="9"/>
  <c r="AE54" i="7"/>
  <c r="AH57" i="6"/>
  <c r="AI58" i="6"/>
  <c r="AK54" i="8"/>
  <c r="AK58" i="8" s="1"/>
  <c r="AK54" i="9"/>
  <c r="AK54" i="7"/>
  <c r="AH55" i="7"/>
  <c r="AD56" i="7"/>
  <c r="AH56" i="7"/>
  <c r="W44" i="13"/>
  <c r="W44" i="12"/>
  <c r="W44" i="11"/>
  <c r="W44" i="10"/>
  <c r="AA45" i="13"/>
  <c r="AA45" i="12"/>
  <c r="AA45" i="11"/>
  <c r="AA45" i="10"/>
  <c r="U56" i="8"/>
  <c r="U56" i="9"/>
  <c r="F41" i="5"/>
  <c r="U46" i="13"/>
  <c r="U46" i="12"/>
  <c r="U46" i="11"/>
  <c r="U46" i="10"/>
  <c r="Z45" i="13"/>
  <c r="Z45" i="12"/>
  <c r="Z45" i="11"/>
  <c r="Z45" i="10"/>
  <c r="L54" i="9"/>
  <c r="L54" i="8"/>
  <c r="L58" i="8" s="1"/>
  <c r="Q54" i="8"/>
  <c r="Q58" i="8" s="1"/>
  <c r="Q54" i="9"/>
  <c r="Q54" i="7"/>
  <c r="AH58" i="6"/>
  <c r="AA56" i="7"/>
  <c r="AI56" i="7"/>
  <c r="L54" i="7"/>
  <c r="AH55" i="8"/>
  <c r="AH56" i="8"/>
  <c r="AD56" i="8"/>
  <c r="P48" i="12"/>
  <c r="Y43" i="11"/>
  <c r="X43" i="11"/>
  <c r="P48" i="11"/>
  <c r="M47" i="10"/>
  <c r="M47" i="11" s="1"/>
  <c r="O47" i="10"/>
  <c r="O47" i="11" s="1"/>
  <c r="U47" i="10"/>
  <c r="U47" i="11" s="1"/>
  <c r="X47" i="10"/>
  <c r="L43" i="10"/>
  <c r="N43" i="10"/>
  <c r="P43" i="10"/>
  <c r="S43" i="10"/>
  <c r="T43" i="10"/>
  <c r="V43" i="10"/>
  <c r="Y43" i="10"/>
  <c r="Z43" i="10"/>
  <c r="N47" i="10"/>
  <c r="N47" i="11" s="1"/>
  <c r="P47" i="10"/>
  <c r="T47" i="10"/>
  <c r="T47" i="11" s="1"/>
  <c r="V47" i="10"/>
  <c r="M43" i="10"/>
  <c r="O43" i="10"/>
  <c r="Q43" i="10"/>
  <c r="R43" i="10"/>
  <c r="R48" i="10" s="1"/>
  <c r="R26" i="11" s="1"/>
  <c r="U43" i="10"/>
  <c r="W43" i="10"/>
  <c r="X43" i="10"/>
  <c r="X48" i="10" s="1"/>
  <c r="AA43" i="10"/>
  <c r="AA46" i="9"/>
  <c r="AA43" i="9"/>
  <c r="AA25" i="9"/>
  <c r="AA28" i="9"/>
  <c r="AA17" i="9"/>
  <c r="AA19" i="9"/>
  <c r="Z50" i="9"/>
  <c r="Z48" i="9"/>
  <c r="Z46" i="9"/>
  <c r="Z44" i="9"/>
  <c r="Z42" i="9"/>
  <c r="Z49" i="9"/>
  <c r="Z45" i="9"/>
  <c r="Z41" i="9"/>
  <c r="Z39" i="9"/>
  <c r="Z37" i="9"/>
  <c r="Z40" i="9"/>
  <c r="Z36" i="9"/>
  <c r="Z30" i="9"/>
  <c r="Z38" i="9"/>
  <c r="Z35" i="9"/>
  <c r="Z33" i="9"/>
  <c r="Z31" i="9"/>
  <c r="Z29" i="9"/>
  <c r="Z27" i="9"/>
  <c r="Z25" i="9"/>
  <c r="Z23" i="9"/>
  <c r="Z21" i="9"/>
  <c r="Z19" i="9"/>
  <c r="Z17" i="9"/>
  <c r="Z15" i="9"/>
  <c r="Z13" i="9"/>
  <c r="Z26" i="9"/>
  <c r="Z28" i="9"/>
  <c r="Z18" i="9"/>
  <c r="Z14" i="9"/>
  <c r="Z11" i="9"/>
  <c r="Z9" i="9"/>
  <c r="Z7" i="9"/>
  <c r="Z5" i="9"/>
  <c r="Z22" i="9"/>
  <c r="Z12" i="9"/>
  <c r="Z24" i="9"/>
  <c r="Z20" i="9"/>
  <c r="Z16" i="9"/>
  <c r="Z10" i="9"/>
  <c r="Z8" i="9"/>
  <c r="Z6" i="9"/>
  <c r="M63" i="6"/>
  <c r="AG53" i="7"/>
  <c r="AF53" i="7"/>
  <c r="AE53" i="7"/>
  <c r="Z53" i="7"/>
  <c r="Z58" i="7" s="1"/>
  <c r="AA53" i="7"/>
  <c r="AA58" i="7" s="1"/>
  <c r="M66" i="6"/>
  <c r="M68" i="6"/>
  <c r="M8" i="6"/>
  <c r="M14" i="6"/>
  <c r="M18" i="6"/>
  <c r="M26" i="6"/>
  <c r="M28" i="6"/>
  <c r="M30" i="6"/>
  <c r="M32" i="6"/>
  <c r="M34" i="6"/>
  <c r="M36" i="6"/>
  <c r="M38" i="6"/>
  <c r="M40" i="6"/>
  <c r="M42" i="6"/>
  <c r="M44" i="6"/>
  <c r="M46" i="6"/>
  <c r="M48" i="6"/>
  <c r="M50" i="6"/>
  <c r="R55" i="6"/>
  <c r="R60" i="6" s="1"/>
  <c r="R46" i="7" s="1"/>
  <c r="Y55" i="6"/>
  <c r="Z55" i="6"/>
  <c r="M11" i="6"/>
  <c r="M19" i="6"/>
  <c r="M22" i="6"/>
  <c r="M24" i="6"/>
  <c r="O55" i="6"/>
  <c r="O60" i="6" s="1"/>
  <c r="O45" i="7" s="1"/>
  <c r="S55" i="6"/>
  <c r="S60" i="6" s="1"/>
  <c r="S35" i="7" s="1"/>
  <c r="U55" i="6"/>
  <c r="U60" i="6" s="1"/>
  <c r="AC55" i="6"/>
  <c r="AC60" i="6" s="1"/>
  <c r="AC51" i="7" s="1"/>
  <c r="AE55" i="6"/>
  <c r="AE60" i="6" s="1"/>
  <c r="M12" i="6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M51" i="6"/>
  <c r="L55" i="6"/>
  <c r="L60" i="6" s="1"/>
  <c r="L18" i="7" s="1"/>
  <c r="P55" i="6"/>
  <c r="P60" i="6" s="1"/>
  <c r="P47" i="7" s="1"/>
  <c r="V55" i="6"/>
  <c r="W55" i="6"/>
  <c r="W60" i="6" s="1"/>
  <c r="AF55" i="6"/>
  <c r="AF60" i="6" s="1"/>
  <c r="AH55" i="6"/>
  <c r="AH60" i="6" s="1"/>
  <c r="AH35" i="7" s="1"/>
  <c r="M7" i="6"/>
  <c r="M17" i="6"/>
  <c r="M21" i="6"/>
  <c r="M23" i="6"/>
  <c r="Q55" i="6"/>
  <c r="Q60" i="6" s="1"/>
  <c r="Q46" i="7" s="1"/>
  <c r="X55" i="6"/>
  <c r="X60" i="6" s="1"/>
  <c r="AA55" i="6"/>
  <c r="D30" i="5"/>
  <c r="D37" i="5"/>
  <c r="E36" i="5"/>
  <c r="F36" i="5"/>
  <c r="R16" i="11" l="1"/>
  <c r="Z51" i="9"/>
  <c r="Z34" i="9"/>
  <c r="Z43" i="9"/>
  <c r="Z47" i="9"/>
  <c r="Z32" i="9"/>
  <c r="AI6" i="17"/>
  <c r="AI7" i="17"/>
  <c r="AI8" i="17"/>
  <c r="U48" i="10"/>
  <c r="U18" i="11" s="1"/>
  <c r="Z48" i="12"/>
  <c r="X10" i="21"/>
  <c r="AF10" i="21" s="1"/>
  <c r="AB43" i="10"/>
  <c r="M67" i="6"/>
  <c r="M64" i="6" s="1"/>
  <c r="M70" i="6" s="1"/>
  <c r="F10" i="26"/>
  <c r="F6" i="26"/>
  <c r="K10" i="26"/>
  <c r="K6" i="26"/>
  <c r="L10" i="25"/>
  <c r="L6" i="25"/>
  <c r="Q10" i="25"/>
  <c r="Q6" i="25"/>
  <c r="F10" i="25"/>
  <c r="F6" i="25"/>
  <c r="V10" i="25"/>
  <c r="V6" i="25"/>
  <c r="K10" i="25"/>
  <c r="K6" i="25"/>
  <c r="L10" i="26"/>
  <c r="L6" i="26"/>
  <c r="C8" i="26"/>
  <c r="C10" i="26"/>
  <c r="C6" i="26"/>
  <c r="D10" i="26"/>
  <c r="D6" i="26"/>
  <c r="J10" i="26"/>
  <c r="J6" i="26"/>
  <c r="E6" i="26"/>
  <c r="P10" i="25"/>
  <c r="P6" i="25"/>
  <c r="E6" i="25"/>
  <c r="E10" i="25"/>
  <c r="U10" i="25"/>
  <c r="U6" i="25"/>
  <c r="J10" i="25"/>
  <c r="J6" i="25"/>
  <c r="O10" i="25"/>
  <c r="O6" i="25"/>
  <c r="H10" i="26"/>
  <c r="H6" i="26"/>
  <c r="D10" i="25"/>
  <c r="D6" i="25"/>
  <c r="T10" i="25"/>
  <c r="T6" i="25"/>
  <c r="I6" i="25"/>
  <c r="I10" i="25"/>
  <c r="N10" i="25"/>
  <c r="N6" i="25"/>
  <c r="C6" i="25"/>
  <c r="C10" i="25"/>
  <c r="S10" i="25"/>
  <c r="S6" i="25"/>
  <c r="I8" i="26"/>
  <c r="I10" i="26"/>
  <c r="I6" i="26"/>
  <c r="B10" i="26"/>
  <c r="B6" i="26"/>
  <c r="G8" i="26"/>
  <c r="G10" i="26"/>
  <c r="G6" i="26"/>
  <c r="H10" i="25"/>
  <c r="H6" i="25"/>
  <c r="M10" i="25"/>
  <c r="M6" i="25"/>
  <c r="B10" i="25"/>
  <c r="B6" i="25"/>
  <c r="B8" i="25"/>
  <c r="X8" i="25" s="1"/>
  <c r="R10" i="25"/>
  <c r="R6" i="25"/>
  <c r="G10" i="25"/>
  <c r="G6" i="25"/>
  <c r="W10" i="25"/>
  <c r="W6" i="25"/>
  <c r="X9" i="21"/>
  <c r="AF9" i="21" s="1"/>
  <c r="X11" i="21"/>
  <c r="AF11" i="21" s="1"/>
  <c r="X12" i="21"/>
  <c r="AF12" i="21" s="1"/>
  <c r="AT9" i="16"/>
  <c r="AO9" i="16"/>
  <c r="AJ9" i="16"/>
  <c r="T47" i="12"/>
  <c r="R35" i="11"/>
  <c r="S35" i="11" s="1"/>
  <c r="R22" i="11"/>
  <c r="R25" i="11"/>
  <c r="U32" i="11"/>
  <c r="U34" i="11"/>
  <c r="AC39" i="7"/>
  <c r="L48" i="7"/>
  <c r="U27" i="11"/>
  <c r="U22" i="11"/>
  <c r="U25" i="11"/>
  <c r="AH46" i="7"/>
  <c r="O28" i="7"/>
  <c r="Z48" i="10"/>
  <c r="P47" i="11"/>
  <c r="U11" i="11"/>
  <c r="O47" i="7"/>
  <c r="L36" i="7"/>
  <c r="L36" i="9" s="1"/>
  <c r="O48" i="10"/>
  <c r="O9" i="11" s="1"/>
  <c r="O47" i="12"/>
  <c r="R21" i="11"/>
  <c r="R36" i="11"/>
  <c r="R20" i="11"/>
  <c r="L18" i="9"/>
  <c r="O45" i="9"/>
  <c r="AD51" i="7"/>
  <c r="AC51" i="9"/>
  <c r="AD51" i="9" s="1"/>
  <c r="Q46" i="9"/>
  <c r="W46" i="12"/>
  <c r="W46" i="13"/>
  <c r="W46" i="10"/>
  <c r="W46" i="11"/>
  <c r="AA45" i="9"/>
  <c r="AA49" i="9"/>
  <c r="AA44" i="9"/>
  <c r="AA32" i="9"/>
  <c r="AA38" i="9"/>
  <c r="AA35" i="9"/>
  <c r="AA24" i="9"/>
  <c r="AA16" i="9"/>
  <c r="AA11" i="9"/>
  <c r="AA12" i="9"/>
  <c r="AA10" i="9"/>
  <c r="AA50" i="9"/>
  <c r="AA42" i="9"/>
  <c r="AA48" i="9"/>
  <c r="AA40" i="9"/>
  <c r="AA27" i="9"/>
  <c r="AA37" i="9"/>
  <c r="AA31" i="9"/>
  <c r="AA22" i="9"/>
  <c r="AA21" i="9"/>
  <c r="AA9" i="9"/>
  <c r="AA29" i="9"/>
  <c r="AA8" i="9"/>
  <c r="AI21" i="7"/>
  <c r="O28" i="9"/>
  <c r="AH32" i="7"/>
  <c r="L44" i="13"/>
  <c r="L44" i="12"/>
  <c r="L48" i="12" s="1"/>
  <c r="L44" i="11"/>
  <c r="L48" i="11" s="1"/>
  <c r="L44" i="10"/>
  <c r="L47" i="10" s="1"/>
  <c r="S20" i="7"/>
  <c r="S16" i="7"/>
  <c r="S12" i="7"/>
  <c r="S8" i="7"/>
  <c r="S25" i="7"/>
  <c r="S17" i="7"/>
  <c r="S13" i="7"/>
  <c r="S9" i="7"/>
  <c r="S5" i="7"/>
  <c r="S41" i="7"/>
  <c r="S37" i="7"/>
  <c r="S19" i="7"/>
  <c r="S11" i="7"/>
  <c r="S10" i="7"/>
  <c r="S22" i="7"/>
  <c r="S15" i="7"/>
  <c r="S7" i="7"/>
  <c r="S18" i="7"/>
  <c r="S26" i="7"/>
  <c r="S23" i="7"/>
  <c r="S14" i="7"/>
  <c r="S6" i="7"/>
  <c r="S42" i="7"/>
  <c r="S39" i="7"/>
  <c r="S40" i="7"/>
  <c r="S50" i="7"/>
  <c r="S31" i="7"/>
  <c r="S33" i="7"/>
  <c r="S34" i="7"/>
  <c r="S47" i="7"/>
  <c r="S28" i="7"/>
  <c r="S48" i="7"/>
  <c r="S43" i="7"/>
  <c r="S45" i="7"/>
  <c r="S46" i="7"/>
  <c r="S27" i="7"/>
  <c r="S32" i="7"/>
  <c r="S21" i="7"/>
  <c r="S51" i="7"/>
  <c r="S44" i="7"/>
  <c r="S24" i="7"/>
  <c r="S49" i="7"/>
  <c r="R26" i="7"/>
  <c r="R29" i="7"/>
  <c r="R27" i="7"/>
  <c r="R23" i="7"/>
  <c r="R19" i="7"/>
  <c r="R15" i="7"/>
  <c r="R11" i="7"/>
  <c r="R7" i="7"/>
  <c r="R24" i="7"/>
  <c r="R20" i="7"/>
  <c r="R16" i="7"/>
  <c r="R12" i="7"/>
  <c r="R8" i="7"/>
  <c r="R51" i="7"/>
  <c r="R47" i="7"/>
  <c r="R22" i="7"/>
  <c r="R21" i="7"/>
  <c r="R14" i="7"/>
  <c r="R13" i="7"/>
  <c r="R6" i="7"/>
  <c r="R5" i="7"/>
  <c r="R36" i="7"/>
  <c r="R32" i="7"/>
  <c r="R28" i="7"/>
  <c r="R25" i="7"/>
  <c r="R18" i="7"/>
  <c r="R17" i="7"/>
  <c r="R10" i="7"/>
  <c r="R9" i="7"/>
  <c r="R48" i="7"/>
  <c r="R41" i="7"/>
  <c r="R30" i="7"/>
  <c r="R50" i="7"/>
  <c r="R39" i="7"/>
  <c r="R49" i="7"/>
  <c r="R38" i="7"/>
  <c r="R40" i="7"/>
  <c r="R43" i="7"/>
  <c r="R44" i="7"/>
  <c r="R42" i="7"/>
  <c r="R37" i="7"/>
  <c r="R31" i="7"/>
  <c r="AA13" i="9"/>
  <c r="AA5" i="9"/>
  <c r="AA18" i="9"/>
  <c r="AA30" i="9"/>
  <c r="AA34" i="9"/>
  <c r="AA39" i="9"/>
  <c r="O15" i="11"/>
  <c r="O7" i="11"/>
  <c r="O34" i="11"/>
  <c r="O29" i="11"/>
  <c r="O31" i="11"/>
  <c r="O22" i="11"/>
  <c r="O40" i="11"/>
  <c r="O39" i="11"/>
  <c r="M47" i="12"/>
  <c r="S36" i="11"/>
  <c r="O28" i="11"/>
  <c r="AH26" i="7"/>
  <c r="S29" i="7"/>
  <c r="L33" i="7"/>
  <c r="AC34" i="7"/>
  <c r="Q48" i="7"/>
  <c r="AI27" i="7"/>
  <c r="R33" i="7"/>
  <c r="AC30" i="7"/>
  <c r="S44" i="13"/>
  <c r="S44" i="12"/>
  <c r="S44" i="11"/>
  <c r="S44" i="10"/>
  <c r="V47" i="11"/>
  <c r="V47" i="12"/>
  <c r="P28" i="7"/>
  <c r="P25" i="7"/>
  <c r="P21" i="7"/>
  <c r="P17" i="7"/>
  <c r="P13" i="7"/>
  <c r="P9" i="7"/>
  <c r="P5" i="7"/>
  <c r="P26" i="7"/>
  <c r="P22" i="7"/>
  <c r="P18" i="7"/>
  <c r="P14" i="7"/>
  <c r="P10" i="7"/>
  <c r="P6" i="7"/>
  <c r="P48" i="7"/>
  <c r="P35" i="7"/>
  <c r="P27" i="7"/>
  <c r="P23" i="7"/>
  <c r="P15" i="7"/>
  <c r="P7" i="7"/>
  <c r="P12" i="7"/>
  <c r="P33" i="7"/>
  <c r="P24" i="7"/>
  <c r="P20" i="7"/>
  <c r="P31" i="7"/>
  <c r="P29" i="7"/>
  <c r="P19" i="7"/>
  <c r="P11" i="7"/>
  <c r="P16" i="7"/>
  <c r="P8" i="7"/>
  <c r="P38" i="7"/>
  <c r="P37" i="7"/>
  <c r="P30" i="7"/>
  <c r="P51" i="7"/>
  <c r="P40" i="7"/>
  <c r="P41" i="7"/>
  <c r="P42" i="7"/>
  <c r="P45" i="7"/>
  <c r="P46" i="7"/>
  <c r="P39" i="7"/>
  <c r="P32" i="7"/>
  <c r="P49" i="7"/>
  <c r="P50" i="7"/>
  <c r="P36" i="7"/>
  <c r="P43" i="7"/>
  <c r="F37" i="5"/>
  <c r="R46" i="13"/>
  <c r="R46" i="12"/>
  <c r="R46" i="11"/>
  <c r="R46" i="10"/>
  <c r="L28" i="7"/>
  <c r="L26" i="7"/>
  <c r="L22" i="7"/>
  <c r="L14" i="7"/>
  <c r="L10" i="7"/>
  <c r="L6" i="7"/>
  <c r="L29" i="7"/>
  <c r="L27" i="7"/>
  <c r="L23" i="7"/>
  <c r="L15" i="7"/>
  <c r="L44" i="7"/>
  <c r="L40" i="7"/>
  <c r="L24" i="7"/>
  <c r="L20" i="7"/>
  <c r="L16" i="7"/>
  <c r="L12" i="7"/>
  <c r="L8" i="7"/>
  <c r="L9" i="7"/>
  <c r="L21" i="7"/>
  <c r="L13" i="7"/>
  <c r="L5" i="7"/>
  <c r="L25" i="7"/>
  <c r="L17" i="7"/>
  <c r="L41" i="7"/>
  <c r="L34" i="7"/>
  <c r="L45" i="7"/>
  <c r="L46" i="7"/>
  <c r="L11" i="7"/>
  <c r="L39" i="7"/>
  <c r="L32" i="7"/>
  <c r="L49" i="7"/>
  <c r="L42" i="7"/>
  <c r="L19" i="7"/>
  <c r="L43" i="7"/>
  <c r="L7" i="7"/>
  <c r="L50" i="7"/>
  <c r="L30" i="7"/>
  <c r="L31" i="7"/>
  <c r="L47" i="7"/>
  <c r="O20" i="7"/>
  <c r="O16" i="7"/>
  <c r="O12" i="7"/>
  <c r="O8" i="7"/>
  <c r="O25" i="7"/>
  <c r="O17" i="7"/>
  <c r="O13" i="7"/>
  <c r="O9" i="7"/>
  <c r="O5" i="7"/>
  <c r="O41" i="7"/>
  <c r="O26" i="7"/>
  <c r="O19" i="7"/>
  <c r="O15" i="7"/>
  <c r="O11" i="7"/>
  <c r="O7" i="7"/>
  <c r="O14" i="7"/>
  <c r="O6" i="7"/>
  <c r="O10" i="7"/>
  <c r="O37" i="7"/>
  <c r="O18" i="7"/>
  <c r="O50" i="7"/>
  <c r="O21" i="7"/>
  <c r="O51" i="7"/>
  <c r="O36" i="7"/>
  <c r="O34" i="7"/>
  <c r="O24" i="7"/>
  <c r="O49" i="7"/>
  <c r="O22" i="7"/>
  <c r="O38" i="7"/>
  <c r="O44" i="7"/>
  <c r="O46" i="7"/>
  <c r="O27" i="7"/>
  <c r="O23" i="7"/>
  <c r="O29" i="7"/>
  <c r="O39" i="7"/>
  <c r="O30" i="7"/>
  <c r="O35" i="7"/>
  <c r="O48" i="7"/>
  <c r="O31" i="7"/>
  <c r="O32" i="7"/>
  <c r="O33" i="7"/>
  <c r="Z50" i="8"/>
  <c r="Y50" i="23" s="1"/>
  <c r="Y102" i="23" s="1"/>
  <c r="Z49" i="8"/>
  <c r="Y49" i="23" s="1"/>
  <c r="Y101" i="23" s="1"/>
  <c r="Z43" i="8"/>
  <c r="Y43" i="23" s="1"/>
  <c r="Y95" i="23" s="1"/>
  <c r="Z40" i="8"/>
  <c r="Y40" i="23" s="1"/>
  <c r="Y92" i="23" s="1"/>
  <c r="Z37" i="8"/>
  <c r="Y37" i="23" s="1"/>
  <c r="Y89" i="23" s="1"/>
  <c r="Z33" i="8"/>
  <c r="Y33" i="23" s="1"/>
  <c r="Y85" i="23" s="1"/>
  <c r="Z27" i="8"/>
  <c r="Y27" i="23" s="1"/>
  <c r="Y79" i="23" s="1"/>
  <c r="Z24" i="8"/>
  <c r="Y24" i="23" s="1"/>
  <c r="Y76" i="23" s="1"/>
  <c r="Z22" i="8"/>
  <c r="Y22" i="23" s="1"/>
  <c r="Y74" i="23" s="1"/>
  <c r="Z47" i="8"/>
  <c r="Y47" i="23" s="1"/>
  <c r="Y99" i="23" s="1"/>
  <c r="Z44" i="8"/>
  <c r="Y44" i="23" s="1"/>
  <c r="Y96" i="23" s="1"/>
  <c r="Z39" i="8"/>
  <c r="Y39" i="23" s="1"/>
  <c r="Y91" i="23" s="1"/>
  <c r="Z35" i="8"/>
  <c r="Y35" i="23" s="1"/>
  <c r="Y87" i="23" s="1"/>
  <c r="Z31" i="8"/>
  <c r="Y31" i="23" s="1"/>
  <c r="Y83" i="23" s="1"/>
  <c r="Z28" i="8"/>
  <c r="Y28" i="23" s="1"/>
  <c r="Y80" i="23" s="1"/>
  <c r="Z23" i="8"/>
  <c r="Y23" i="23" s="1"/>
  <c r="Y75" i="23" s="1"/>
  <c r="Z48" i="8"/>
  <c r="Y48" i="23" s="1"/>
  <c r="Y100" i="23" s="1"/>
  <c r="Z45" i="8"/>
  <c r="Y45" i="23" s="1"/>
  <c r="Y97" i="23" s="1"/>
  <c r="Z32" i="8"/>
  <c r="Y32" i="23" s="1"/>
  <c r="Y84" i="23" s="1"/>
  <c r="Z26" i="8"/>
  <c r="Y26" i="23" s="1"/>
  <c r="Y78" i="23" s="1"/>
  <c r="Z21" i="8"/>
  <c r="Y21" i="23" s="1"/>
  <c r="Y73" i="23" s="1"/>
  <c r="Z19" i="8"/>
  <c r="Y19" i="23" s="1"/>
  <c r="Y71" i="23" s="1"/>
  <c r="Z14" i="8"/>
  <c r="Y14" i="23" s="1"/>
  <c r="Y66" i="23" s="1"/>
  <c r="Z11" i="8"/>
  <c r="Y11" i="23" s="1"/>
  <c r="Y63" i="23" s="1"/>
  <c r="Z6" i="8"/>
  <c r="Y6" i="23" s="1"/>
  <c r="Y58" i="23" s="1"/>
  <c r="Z46" i="8"/>
  <c r="Y46" i="23" s="1"/>
  <c r="Y98" i="23" s="1"/>
  <c r="Z38" i="8"/>
  <c r="Y38" i="23" s="1"/>
  <c r="Y90" i="23" s="1"/>
  <c r="Z30" i="8"/>
  <c r="Y30" i="23" s="1"/>
  <c r="Y82" i="23" s="1"/>
  <c r="Z25" i="8"/>
  <c r="Y25" i="23" s="1"/>
  <c r="Y77" i="23" s="1"/>
  <c r="Z16" i="8"/>
  <c r="Y16" i="23" s="1"/>
  <c r="Y68" i="23" s="1"/>
  <c r="Z13" i="8"/>
  <c r="Y13" i="23" s="1"/>
  <c r="Y65" i="23" s="1"/>
  <c r="Z8" i="8"/>
  <c r="Y8" i="23" s="1"/>
  <c r="Y60" i="23" s="1"/>
  <c r="Z5" i="8"/>
  <c r="Y5" i="23" s="1"/>
  <c r="Y57" i="23" s="1"/>
  <c r="O7" i="25" s="1"/>
  <c r="Z42" i="8"/>
  <c r="Y42" i="23" s="1"/>
  <c r="Y94" i="23" s="1"/>
  <c r="Z36" i="8"/>
  <c r="Y36" i="23" s="1"/>
  <c r="Y88" i="23" s="1"/>
  <c r="Z29" i="8"/>
  <c r="Y29" i="23" s="1"/>
  <c r="Y81" i="23" s="1"/>
  <c r="Z18" i="8"/>
  <c r="Y18" i="23" s="1"/>
  <c r="Y70" i="23" s="1"/>
  <c r="Z15" i="8"/>
  <c r="Y15" i="23" s="1"/>
  <c r="Y67" i="23" s="1"/>
  <c r="Z10" i="8"/>
  <c r="Y10" i="23" s="1"/>
  <c r="Y62" i="23" s="1"/>
  <c r="Z7" i="8"/>
  <c r="Y7" i="23" s="1"/>
  <c r="Y59" i="23" s="1"/>
  <c r="Z51" i="8"/>
  <c r="Y51" i="23" s="1"/>
  <c r="Y103" i="23" s="1"/>
  <c r="Z41" i="8"/>
  <c r="Y41" i="23" s="1"/>
  <c r="Y93" i="23" s="1"/>
  <c r="Z12" i="8"/>
  <c r="Y12" i="23" s="1"/>
  <c r="Y64" i="23" s="1"/>
  <c r="Z20" i="8"/>
  <c r="Y20" i="23" s="1"/>
  <c r="Y72" i="23" s="1"/>
  <c r="Z9" i="8"/>
  <c r="Y9" i="23" s="1"/>
  <c r="Y61" i="23" s="1"/>
  <c r="Z34" i="8"/>
  <c r="Y34" i="23" s="1"/>
  <c r="Y86" i="23" s="1"/>
  <c r="Z17" i="8"/>
  <c r="Y17" i="23" s="1"/>
  <c r="Y69" i="23" s="1"/>
  <c r="P47" i="9"/>
  <c r="AA6" i="9"/>
  <c r="AA7" i="9"/>
  <c r="AA20" i="9"/>
  <c r="AA33" i="9"/>
  <c r="AA36" i="9"/>
  <c r="AA41" i="9"/>
  <c r="U18" i="12"/>
  <c r="U18" i="13"/>
  <c r="S22" i="11"/>
  <c r="O17" i="11"/>
  <c r="U32" i="12"/>
  <c r="U32" i="13"/>
  <c r="S16" i="11"/>
  <c r="O11" i="11"/>
  <c r="U34" i="12"/>
  <c r="AC36" i="7"/>
  <c r="AC45" i="7"/>
  <c r="R35" i="7"/>
  <c r="L51" i="7"/>
  <c r="O40" i="7"/>
  <c r="R45" i="7"/>
  <c r="S38" i="7"/>
  <c r="Q32" i="7"/>
  <c r="Q19" i="7"/>
  <c r="S30" i="7"/>
  <c r="R34" i="7"/>
  <c r="Q28" i="7"/>
  <c r="Q26" i="7"/>
  <c r="Q22" i="7"/>
  <c r="Q14" i="7"/>
  <c r="Q10" i="7"/>
  <c r="Q6" i="7"/>
  <c r="Q29" i="7"/>
  <c r="Q27" i="7"/>
  <c r="Q23" i="7"/>
  <c r="Q15" i="7"/>
  <c r="Q42" i="7"/>
  <c r="Q25" i="7"/>
  <c r="Q21" i="7"/>
  <c r="Q17" i="7"/>
  <c r="Q13" i="7"/>
  <c r="Q9" i="7"/>
  <c r="Q5" i="7"/>
  <c r="Q38" i="7"/>
  <c r="Q24" i="7"/>
  <c r="Q16" i="7"/>
  <c r="Q8" i="7"/>
  <c r="Q18" i="7"/>
  <c r="Q35" i="7"/>
  <c r="Q36" i="7"/>
  <c r="Q34" i="7"/>
  <c r="Q43" i="7"/>
  <c r="Q45" i="7"/>
  <c r="Q12" i="7"/>
  <c r="Q50" i="7"/>
  <c r="Q39" i="7"/>
  <c r="Q40" i="7"/>
  <c r="Q51" i="7"/>
  <c r="Q33" i="7"/>
  <c r="Q49" i="7"/>
  <c r="Q20" i="7"/>
  <c r="Q30" i="7"/>
  <c r="Q47" i="7"/>
  <c r="Q44" i="7"/>
  <c r="Q11" i="7"/>
  <c r="Q37" i="7"/>
  <c r="U44" i="7"/>
  <c r="U42" i="7"/>
  <c r="U40" i="7"/>
  <c r="U38" i="7"/>
  <c r="U51" i="7"/>
  <c r="U49" i="7"/>
  <c r="U47" i="7"/>
  <c r="U45" i="7"/>
  <c r="U36" i="7"/>
  <c r="U34" i="7"/>
  <c r="U32" i="7"/>
  <c r="U30" i="7"/>
  <c r="U28" i="7"/>
  <c r="U25" i="7"/>
  <c r="U21" i="7"/>
  <c r="U17" i="7"/>
  <c r="U13" i="7"/>
  <c r="U9" i="7"/>
  <c r="U5" i="7"/>
  <c r="U43" i="7"/>
  <c r="U41" i="7"/>
  <c r="U39" i="7"/>
  <c r="U37" i="7"/>
  <c r="U26" i="7"/>
  <c r="U22" i="7"/>
  <c r="U18" i="7"/>
  <c r="U14" i="7"/>
  <c r="U10" i="7"/>
  <c r="U6" i="7"/>
  <c r="U50" i="7"/>
  <c r="U48" i="7"/>
  <c r="U46" i="7"/>
  <c r="U33" i="7"/>
  <c r="U27" i="7"/>
  <c r="U19" i="7"/>
  <c r="U11" i="7"/>
  <c r="U16" i="7"/>
  <c r="U8" i="7"/>
  <c r="U31" i="7"/>
  <c r="U29" i="7"/>
  <c r="U24" i="7"/>
  <c r="U23" i="7"/>
  <c r="U15" i="7"/>
  <c r="U7" i="7"/>
  <c r="U35" i="7"/>
  <c r="U20" i="7"/>
  <c r="U12" i="7"/>
  <c r="U22" i="12"/>
  <c r="S21" i="11"/>
  <c r="AI20" i="7"/>
  <c r="AI16" i="7"/>
  <c r="AI12" i="7"/>
  <c r="AI8" i="7"/>
  <c r="AI25" i="7"/>
  <c r="AI17" i="7"/>
  <c r="AI13" i="7"/>
  <c r="AI9" i="7"/>
  <c r="AI5" i="7"/>
  <c r="AI49" i="7"/>
  <c r="AI45" i="7"/>
  <c r="AI34" i="7"/>
  <c r="AI32" i="7"/>
  <c r="AI23" i="7"/>
  <c r="AI15" i="7"/>
  <c r="AI7" i="7"/>
  <c r="AI26" i="7"/>
  <c r="AI18" i="7"/>
  <c r="AI10" i="7"/>
  <c r="AI14" i="7"/>
  <c r="AI6" i="7"/>
  <c r="AI19" i="7"/>
  <c r="AI11" i="7"/>
  <c r="AI30" i="7"/>
  <c r="AI22" i="7"/>
  <c r="AI35" i="7"/>
  <c r="AI46" i="7"/>
  <c r="AI31" i="7"/>
  <c r="AI29" i="7"/>
  <c r="AI48" i="7"/>
  <c r="AI38" i="7"/>
  <c r="AI43" i="7"/>
  <c r="AI28" i="7"/>
  <c r="AI39" i="7"/>
  <c r="AI33" i="7"/>
  <c r="AI36" i="7"/>
  <c r="AI50" i="7"/>
  <c r="AI42" i="7"/>
  <c r="AI51" i="7"/>
  <c r="AI47" i="7"/>
  <c r="AI37" i="7"/>
  <c r="AI40" i="7"/>
  <c r="AH19" i="7"/>
  <c r="AH15" i="7"/>
  <c r="AH11" i="7"/>
  <c r="AH7" i="7"/>
  <c r="AH20" i="7"/>
  <c r="AH16" i="7"/>
  <c r="AH12" i="7"/>
  <c r="AH8" i="7"/>
  <c r="AH40" i="7"/>
  <c r="AH36" i="7"/>
  <c r="AH25" i="7"/>
  <c r="AH18" i="7"/>
  <c r="AH17" i="7"/>
  <c r="AH10" i="7"/>
  <c r="AH9" i="7"/>
  <c r="AH38" i="7"/>
  <c r="AH22" i="7"/>
  <c r="AH21" i="7"/>
  <c r="AH14" i="7"/>
  <c r="AH13" i="7"/>
  <c r="AH6" i="7"/>
  <c r="AH5" i="7"/>
  <c r="AH48" i="7"/>
  <c r="AH29" i="7"/>
  <c r="AH24" i="7"/>
  <c r="AH39" i="7"/>
  <c r="AH30" i="7"/>
  <c r="AH50" i="7"/>
  <c r="AH51" i="7"/>
  <c r="AH23" i="7"/>
  <c r="AH37" i="7"/>
  <c r="AH28" i="7"/>
  <c r="AH33" i="7"/>
  <c r="AH27" i="7"/>
  <c r="AH43" i="7"/>
  <c r="AH34" i="7"/>
  <c r="AH49" i="7"/>
  <c r="AH44" i="7"/>
  <c r="AH41" i="7"/>
  <c r="AH31" i="7"/>
  <c r="AH47" i="7"/>
  <c r="AH42" i="7"/>
  <c r="E37" i="5"/>
  <c r="R45" i="13"/>
  <c r="R45" i="12"/>
  <c r="R45" i="11"/>
  <c r="R45" i="10"/>
  <c r="X51" i="7"/>
  <c r="X50" i="7"/>
  <c r="X48" i="7"/>
  <c r="X46" i="7"/>
  <c r="X35" i="7"/>
  <c r="X33" i="7"/>
  <c r="X31" i="7"/>
  <c r="X29" i="7"/>
  <c r="X27" i="7"/>
  <c r="X44" i="7"/>
  <c r="X42" i="7"/>
  <c r="X40" i="7"/>
  <c r="X38" i="7"/>
  <c r="X24" i="7"/>
  <c r="X20" i="7"/>
  <c r="X16" i="7"/>
  <c r="X12" i="7"/>
  <c r="X8" i="7"/>
  <c r="X49" i="7"/>
  <c r="X47" i="7"/>
  <c r="X45" i="7"/>
  <c r="X36" i="7"/>
  <c r="X34" i="7"/>
  <c r="X32" i="7"/>
  <c r="X30" i="7"/>
  <c r="X28" i="7"/>
  <c r="X25" i="7"/>
  <c r="X21" i="7"/>
  <c r="X17" i="7"/>
  <c r="X13" i="7"/>
  <c r="X9" i="7"/>
  <c r="X5" i="7"/>
  <c r="X43" i="7"/>
  <c r="X41" i="7"/>
  <c r="X39" i="7"/>
  <c r="X23" i="7"/>
  <c r="X19" i="7"/>
  <c r="X15" i="7"/>
  <c r="X11" i="7"/>
  <c r="X7" i="7"/>
  <c r="X18" i="7"/>
  <c r="X10" i="7"/>
  <c r="X37" i="7"/>
  <c r="X26" i="7"/>
  <c r="X22" i="7"/>
  <c r="X14" i="7"/>
  <c r="X6" i="7"/>
  <c r="W43" i="7"/>
  <c r="W41" i="7"/>
  <c r="W39" i="7"/>
  <c r="W37" i="7"/>
  <c r="W26" i="7"/>
  <c r="W50" i="7"/>
  <c r="W48" i="7"/>
  <c r="W46" i="7"/>
  <c r="W35" i="7"/>
  <c r="W33" i="7"/>
  <c r="W31" i="7"/>
  <c r="W29" i="7"/>
  <c r="W27" i="7"/>
  <c r="W23" i="7"/>
  <c r="W19" i="7"/>
  <c r="W15" i="7"/>
  <c r="W11" i="7"/>
  <c r="W7" i="7"/>
  <c r="W44" i="7"/>
  <c r="W42" i="7"/>
  <c r="W40" i="7"/>
  <c r="W38" i="7"/>
  <c r="W24" i="7"/>
  <c r="W20" i="7"/>
  <c r="W16" i="7"/>
  <c r="W12" i="7"/>
  <c r="W8" i="7"/>
  <c r="W51" i="7"/>
  <c r="W49" i="7"/>
  <c r="W47" i="7"/>
  <c r="W45" i="7"/>
  <c r="W36" i="7"/>
  <c r="W28" i="7"/>
  <c r="W22" i="7"/>
  <c r="W18" i="7"/>
  <c r="W14" i="7"/>
  <c r="W10" i="7"/>
  <c r="W6" i="7"/>
  <c r="W34" i="7"/>
  <c r="W32" i="7"/>
  <c r="W25" i="7"/>
  <c r="W17" i="7"/>
  <c r="W9" i="7"/>
  <c r="W30" i="7"/>
  <c r="W21" i="7"/>
  <c r="W13" i="7"/>
  <c r="W5" i="7"/>
  <c r="AC20" i="7"/>
  <c r="AC16" i="7"/>
  <c r="AC12" i="7"/>
  <c r="AC8" i="7"/>
  <c r="AC25" i="7"/>
  <c r="AC17" i="7"/>
  <c r="AC13" i="7"/>
  <c r="AC9" i="7"/>
  <c r="AC5" i="7"/>
  <c r="AC41" i="7"/>
  <c r="AC19" i="7"/>
  <c r="AC18" i="7"/>
  <c r="AC15" i="7"/>
  <c r="AC14" i="7"/>
  <c r="AC11" i="7"/>
  <c r="AC10" i="7"/>
  <c r="AC7" i="7"/>
  <c r="AC6" i="7"/>
  <c r="AC37" i="7"/>
  <c r="AC26" i="7"/>
  <c r="AC47" i="7"/>
  <c r="AC42" i="7"/>
  <c r="AC27" i="7"/>
  <c r="AC46" i="7"/>
  <c r="AC24" i="7"/>
  <c r="AC49" i="7"/>
  <c r="AC40" i="7"/>
  <c r="AC38" i="7"/>
  <c r="AC35" i="7"/>
  <c r="AC22" i="7"/>
  <c r="AC29" i="7"/>
  <c r="AC28" i="7"/>
  <c r="AC44" i="7"/>
  <c r="AC50" i="7"/>
  <c r="AC43" i="7"/>
  <c r="AC21" i="7"/>
  <c r="AC31" i="7"/>
  <c r="AC23" i="7"/>
  <c r="AC33" i="7"/>
  <c r="AC32" i="7"/>
  <c r="AC48" i="7"/>
  <c r="AA47" i="8"/>
  <c r="Z47" i="23" s="1"/>
  <c r="Z99" i="23" s="1"/>
  <c r="AA51" i="8"/>
  <c r="Z51" i="23" s="1"/>
  <c r="Z103" i="23" s="1"/>
  <c r="AA48" i="8"/>
  <c r="Z48" i="23" s="1"/>
  <c r="Z100" i="23" s="1"/>
  <c r="AA49" i="8"/>
  <c r="Z49" i="23" s="1"/>
  <c r="Z101" i="23" s="1"/>
  <c r="AA45" i="8"/>
  <c r="Z45" i="23" s="1"/>
  <c r="Z97" i="23" s="1"/>
  <c r="AA42" i="8"/>
  <c r="Z42" i="23" s="1"/>
  <c r="Z94" i="23" s="1"/>
  <c r="AA36" i="8"/>
  <c r="Z36" i="23" s="1"/>
  <c r="Z88" i="23" s="1"/>
  <c r="AA32" i="8"/>
  <c r="Z32" i="23" s="1"/>
  <c r="Z84" i="23" s="1"/>
  <c r="AA29" i="8"/>
  <c r="Z29" i="23" s="1"/>
  <c r="Z81" i="23" s="1"/>
  <c r="AA26" i="8"/>
  <c r="Z26" i="23" s="1"/>
  <c r="Z78" i="23" s="1"/>
  <c r="AA21" i="8"/>
  <c r="Z21" i="23" s="1"/>
  <c r="Z73" i="23" s="1"/>
  <c r="AA46" i="8"/>
  <c r="Z46" i="23" s="1"/>
  <c r="Z98" i="23" s="1"/>
  <c r="AA41" i="8"/>
  <c r="Z41" i="23" s="1"/>
  <c r="Z93" i="23" s="1"/>
  <c r="AA38" i="8"/>
  <c r="Z38" i="23" s="1"/>
  <c r="Z90" i="23" s="1"/>
  <c r="AA34" i="8"/>
  <c r="Z34" i="23" s="1"/>
  <c r="Z86" i="23" s="1"/>
  <c r="AA30" i="8"/>
  <c r="Z30" i="23" s="1"/>
  <c r="Z82" i="23" s="1"/>
  <c r="AA25" i="8"/>
  <c r="Z25" i="23" s="1"/>
  <c r="Z77" i="23" s="1"/>
  <c r="AA44" i="8"/>
  <c r="Z44" i="23" s="1"/>
  <c r="Z96" i="23" s="1"/>
  <c r="AA39" i="8"/>
  <c r="Z39" i="23" s="1"/>
  <c r="Z91" i="23" s="1"/>
  <c r="AA31" i="8"/>
  <c r="Z31" i="23" s="1"/>
  <c r="Z83" i="23" s="1"/>
  <c r="AA16" i="8"/>
  <c r="Z16" i="23" s="1"/>
  <c r="Z68" i="23" s="1"/>
  <c r="AA13" i="8"/>
  <c r="Z13" i="23" s="1"/>
  <c r="Z65" i="23" s="1"/>
  <c r="AA8" i="8"/>
  <c r="Z8" i="23" s="1"/>
  <c r="Z60" i="23" s="1"/>
  <c r="AA5" i="8"/>
  <c r="Z5" i="23" s="1"/>
  <c r="Z57" i="23" s="1"/>
  <c r="P11" i="25" s="1"/>
  <c r="AA43" i="8"/>
  <c r="Z43" i="23" s="1"/>
  <c r="Z95" i="23" s="1"/>
  <c r="AA37" i="8"/>
  <c r="Z37" i="23" s="1"/>
  <c r="Z89" i="23" s="1"/>
  <c r="AA24" i="8"/>
  <c r="Z24" i="23" s="1"/>
  <c r="Z76" i="23" s="1"/>
  <c r="AA18" i="8"/>
  <c r="Z18" i="23" s="1"/>
  <c r="Z70" i="23" s="1"/>
  <c r="AA15" i="8"/>
  <c r="AA10" i="8"/>
  <c r="Z10" i="23" s="1"/>
  <c r="Z62" i="23" s="1"/>
  <c r="AA7" i="8"/>
  <c r="Z7" i="23" s="1"/>
  <c r="Z59" i="23" s="1"/>
  <c r="AA35" i="8"/>
  <c r="Z35" i="23" s="1"/>
  <c r="Z87" i="23" s="1"/>
  <c r="AA28" i="8"/>
  <c r="Z28" i="23" s="1"/>
  <c r="Z80" i="23" s="1"/>
  <c r="AA23" i="8"/>
  <c r="Z23" i="23" s="1"/>
  <c r="Z75" i="23" s="1"/>
  <c r="AA20" i="8"/>
  <c r="Z20" i="23" s="1"/>
  <c r="Z72" i="23" s="1"/>
  <c r="AA17" i="8"/>
  <c r="Z17" i="23" s="1"/>
  <c r="Z69" i="23" s="1"/>
  <c r="AA12" i="8"/>
  <c r="Z12" i="23" s="1"/>
  <c r="Z64" i="23" s="1"/>
  <c r="AA9" i="8"/>
  <c r="Z9" i="23" s="1"/>
  <c r="Z61" i="23" s="1"/>
  <c r="AA14" i="8"/>
  <c r="Z14" i="23" s="1"/>
  <c r="Z66" i="23" s="1"/>
  <c r="AA50" i="8"/>
  <c r="Z50" i="23" s="1"/>
  <c r="Z102" i="23" s="1"/>
  <c r="AA33" i="8"/>
  <c r="Z33" i="23" s="1"/>
  <c r="Z85" i="23" s="1"/>
  <c r="AA22" i="8"/>
  <c r="Z22" i="23" s="1"/>
  <c r="Z74" i="23" s="1"/>
  <c r="AA11" i="8"/>
  <c r="Z11" i="23" s="1"/>
  <c r="Z63" i="23" s="1"/>
  <c r="AA40" i="8"/>
  <c r="Z40" i="23" s="1"/>
  <c r="Z92" i="23" s="1"/>
  <c r="AA27" i="8"/>
  <c r="Z27" i="23" s="1"/>
  <c r="Z79" i="23" s="1"/>
  <c r="AA19" i="8"/>
  <c r="Z19" i="23" s="1"/>
  <c r="Z71" i="23" s="1"/>
  <c r="AA6" i="8"/>
  <c r="Z6" i="23" s="1"/>
  <c r="Z58" i="23" s="1"/>
  <c r="R46" i="9"/>
  <c r="Z53" i="9"/>
  <c r="AA15" i="9"/>
  <c r="AA14" i="9"/>
  <c r="AA26" i="9"/>
  <c r="AA23" i="9"/>
  <c r="AA47" i="9"/>
  <c r="AA51" i="9"/>
  <c r="L48" i="9"/>
  <c r="S26" i="11"/>
  <c r="Z47" i="12"/>
  <c r="U27" i="12"/>
  <c r="U27" i="13"/>
  <c r="S25" i="11"/>
  <c r="U11" i="12"/>
  <c r="U11" i="13"/>
  <c r="AI44" i="7"/>
  <c r="AI41" i="7"/>
  <c r="Q41" i="7"/>
  <c r="L35" i="7"/>
  <c r="L38" i="7"/>
  <c r="AH45" i="7"/>
  <c r="Q31" i="7"/>
  <c r="Q7" i="7"/>
  <c r="S36" i="7"/>
  <c r="P34" i="7"/>
  <c r="O43" i="7"/>
  <c r="P44" i="7"/>
  <c r="L37" i="7"/>
  <c r="O42" i="7"/>
  <c r="Z39" i="11"/>
  <c r="Z13" i="11"/>
  <c r="Z9" i="11"/>
  <c r="Z8" i="11"/>
  <c r="Z5" i="11"/>
  <c r="Z33" i="11"/>
  <c r="N47" i="12"/>
  <c r="Z19" i="11"/>
  <c r="U39" i="11"/>
  <c r="U19" i="11"/>
  <c r="R27" i="11"/>
  <c r="Z26" i="11"/>
  <c r="U38" i="11"/>
  <c r="R18" i="11"/>
  <c r="U41" i="11"/>
  <c r="U21" i="11"/>
  <c r="R41" i="11"/>
  <c r="R17" i="11"/>
  <c r="R12" i="11"/>
  <c r="Z24" i="11"/>
  <c r="U24" i="11"/>
  <c r="R32" i="11"/>
  <c r="R11" i="11"/>
  <c r="R39" i="11"/>
  <c r="R38" i="11"/>
  <c r="Z11" i="11"/>
  <c r="AL56" i="9"/>
  <c r="AL58" i="6"/>
  <c r="AL56" i="7"/>
  <c r="AL56" i="8"/>
  <c r="AH58" i="8"/>
  <c r="AH46" i="9" s="1"/>
  <c r="W54" i="8"/>
  <c r="W58" i="8" s="1"/>
  <c r="W54" i="9"/>
  <c r="W54" i="7"/>
  <c r="AL55" i="9"/>
  <c r="AL55" i="7"/>
  <c r="AL57" i="6"/>
  <c r="AL55" i="8"/>
  <c r="U15" i="11"/>
  <c r="U10" i="11"/>
  <c r="U9" i="11"/>
  <c r="U8" i="11"/>
  <c r="U7" i="11"/>
  <c r="U6" i="11"/>
  <c r="U5" i="11"/>
  <c r="U29" i="11"/>
  <c r="M48" i="10"/>
  <c r="U47" i="12"/>
  <c r="Z14" i="11"/>
  <c r="U35" i="11"/>
  <c r="U14" i="11"/>
  <c r="R23" i="11"/>
  <c r="Z18" i="11"/>
  <c r="U30" i="11"/>
  <c r="R34" i="11"/>
  <c r="U37" i="11"/>
  <c r="U17" i="11"/>
  <c r="R33" i="11"/>
  <c r="Z20" i="11"/>
  <c r="U40" i="11"/>
  <c r="U20" i="11"/>
  <c r="R28" i="11"/>
  <c r="U23" i="11"/>
  <c r="R31" i="11"/>
  <c r="U13" i="11"/>
  <c r="AA44" i="13"/>
  <c r="AA44" i="12"/>
  <c r="AA44" i="11"/>
  <c r="AA44" i="10"/>
  <c r="R48" i="11"/>
  <c r="R47" i="11" s="1"/>
  <c r="AI58" i="8"/>
  <c r="AI24" i="9" s="1"/>
  <c r="R10" i="11"/>
  <c r="R9" i="11"/>
  <c r="R8" i="11"/>
  <c r="R7" i="11"/>
  <c r="R6" i="11"/>
  <c r="R5" i="11"/>
  <c r="R15" i="11"/>
  <c r="R37" i="11"/>
  <c r="Z31" i="11"/>
  <c r="U31" i="11"/>
  <c r="R19" i="11"/>
  <c r="Z34" i="11"/>
  <c r="U26" i="11"/>
  <c r="R30" i="11"/>
  <c r="U33" i="11"/>
  <c r="R29" i="11"/>
  <c r="U12" i="11"/>
  <c r="Z36" i="11"/>
  <c r="Z16" i="11"/>
  <c r="U36" i="11"/>
  <c r="U16" i="11"/>
  <c r="R40" i="11"/>
  <c r="R24" i="11"/>
  <c r="R14" i="11"/>
  <c r="R13" i="11"/>
  <c r="U28" i="11"/>
  <c r="Z48" i="11"/>
  <c r="Z47" i="11" s="1"/>
  <c r="AB56" i="9"/>
  <c r="AB56" i="8"/>
  <c r="AB58" i="6"/>
  <c r="AB56" i="7"/>
  <c r="R48" i="12"/>
  <c r="R47" i="12" s="1"/>
  <c r="P47" i="12"/>
  <c r="P48" i="10"/>
  <c r="V48" i="10"/>
  <c r="N48" i="10"/>
  <c r="T48" i="10"/>
  <c r="L48" i="10"/>
  <c r="M55" i="6"/>
  <c r="M60" i="6" s="1"/>
  <c r="M49" i="7" s="1"/>
  <c r="Y56" i="6"/>
  <c r="V60" i="6"/>
  <c r="V56" i="6"/>
  <c r="D4" i="5"/>
  <c r="D35" i="5"/>
  <c r="S9" i="24" l="1"/>
  <c r="S51" i="24" s="1"/>
  <c r="V50" i="23"/>
  <c r="V102" i="23" s="1"/>
  <c r="O37" i="23"/>
  <c r="O89" i="23" s="1"/>
  <c r="U34" i="13"/>
  <c r="S34" i="24"/>
  <c r="S76" i="24" s="1"/>
  <c r="Q23" i="24"/>
  <c r="Q65" i="24" s="1"/>
  <c r="Z15" i="23"/>
  <c r="Z67" i="23" s="1"/>
  <c r="P7" i="25" s="1"/>
  <c r="V49" i="23"/>
  <c r="V101" i="23" s="1"/>
  <c r="O9" i="25"/>
  <c r="O15" i="25" s="1"/>
  <c r="S32" i="24"/>
  <c r="S74" i="24" s="1"/>
  <c r="O11" i="25"/>
  <c r="S15" i="24"/>
  <c r="S57" i="24" s="1"/>
  <c r="W37" i="23"/>
  <c r="W89" i="23" s="1"/>
  <c r="AE8" i="23"/>
  <c r="AE60" i="23" s="1"/>
  <c r="S18" i="24"/>
  <c r="S60" i="24" s="1"/>
  <c r="Q24" i="24"/>
  <c r="Q66" i="24" s="1"/>
  <c r="V33" i="24"/>
  <c r="V75" i="24" s="1"/>
  <c r="W28" i="23"/>
  <c r="W80" i="23" s="1"/>
  <c r="AD40" i="23"/>
  <c r="AD92" i="23" s="1"/>
  <c r="U25" i="13"/>
  <c r="S25" i="24"/>
  <c r="S67" i="24" s="1"/>
  <c r="V17" i="23"/>
  <c r="V69" i="23" s="1"/>
  <c r="W30" i="23"/>
  <c r="W82" i="23" s="1"/>
  <c r="AD8" i="23"/>
  <c r="AD60" i="23" s="1"/>
  <c r="U22" i="13"/>
  <c r="S22" i="24"/>
  <c r="S64" i="24" s="1"/>
  <c r="V18" i="24"/>
  <c r="V60" i="24" s="1"/>
  <c r="V16" i="23"/>
  <c r="V68" i="23" s="1"/>
  <c r="S27" i="24"/>
  <c r="S69" i="24" s="1"/>
  <c r="S36" i="24"/>
  <c r="S78" i="24" s="1"/>
  <c r="V9" i="24"/>
  <c r="V51" i="24" s="1"/>
  <c r="P9" i="25"/>
  <c r="P15" i="25" s="1"/>
  <c r="W11" i="23"/>
  <c r="W63" i="23" s="1"/>
  <c r="T33" i="23"/>
  <c r="T85" i="23" s="1"/>
  <c r="L50" i="23"/>
  <c r="L102" i="23" s="1"/>
  <c r="O47" i="9"/>
  <c r="S11" i="24"/>
  <c r="S53" i="24" s="1"/>
  <c r="Q33" i="24"/>
  <c r="Q75" i="24" s="1"/>
  <c r="O18" i="23"/>
  <c r="O70" i="23" s="1"/>
  <c r="S20" i="11"/>
  <c r="AD39" i="7"/>
  <c r="X10" i="25"/>
  <c r="M8" i="26"/>
  <c r="M6" i="26"/>
  <c r="X6" i="25"/>
  <c r="M10" i="26"/>
  <c r="O19" i="11"/>
  <c r="O24" i="11"/>
  <c r="O25" i="11"/>
  <c r="O38" i="11"/>
  <c r="O32" i="11"/>
  <c r="O18" i="11"/>
  <c r="O8" i="11"/>
  <c r="Z37" i="11"/>
  <c r="Z30" i="11"/>
  <c r="Z23" i="11"/>
  <c r="Z32" i="11"/>
  <c r="Z17" i="11"/>
  <c r="Z28" i="11"/>
  <c r="Z21" i="11"/>
  <c r="Z40" i="11"/>
  <c r="Z25" i="11"/>
  <c r="Z35" i="11"/>
  <c r="AA35" i="11" s="1"/>
  <c r="Z29" i="11"/>
  <c r="Z6" i="11"/>
  <c r="Z10" i="11"/>
  <c r="Z15" i="11"/>
  <c r="U25" i="12"/>
  <c r="O12" i="11"/>
  <c r="O26" i="11"/>
  <c r="O35" i="11"/>
  <c r="O36" i="11"/>
  <c r="O41" i="11"/>
  <c r="O16" i="11"/>
  <c r="O5" i="11"/>
  <c r="O30" i="11"/>
  <c r="O27" i="11"/>
  <c r="Z27" i="11"/>
  <c r="Z41" i="11"/>
  <c r="Z41" i="12" s="1"/>
  <c r="AA41" i="12" s="1"/>
  <c r="Z38" i="11"/>
  <c r="Z22" i="11"/>
  <c r="Z7" i="11"/>
  <c r="Z12" i="11"/>
  <c r="AC39" i="9"/>
  <c r="AD39" i="9" s="1"/>
  <c r="O13" i="11"/>
  <c r="O37" i="11"/>
  <c r="O33" i="11"/>
  <c r="O33" i="12" s="1"/>
  <c r="O14" i="11"/>
  <c r="O20" i="11"/>
  <c r="O21" i="11"/>
  <c r="O23" i="11"/>
  <c r="O6" i="11"/>
  <c r="O10" i="11"/>
  <c r="M49" i="9"/>
  <c r="L15" i="11"/>
  <c r="L10" i="11"/>
  <c r="L9" i="11"/>
  <c r="L8" i="11"/>
  <c r="L7" i="11"/>
  <c r="L6" i="11"/>
  <c r="L5" i="11"/>
  <c r="L35" i="11"/>
  <c r="L24" i="11"/>
  <c r="L25" i="11"/>
  <c r="L18" i="11"/>
  <c r="L34" i="11"/>
  <c r="L11" i="11"/>
  <c r="L37" i="11"/>
  <c r="L27" i="11"/>
  <c r="L32" i="11"/>
  <c r="L29" i="11"/>
  <c r="L22" i="11"/>
  <c r="L38" i="11"/>
  <c r="L31" i="11"/>
  <c r="L16" i="11"/>
  <c r="L36" i="11"/>
  <c r="L33" i="11"/>
  <c r="L26" i="11"/>
  <c r="L14" i="11"/>
  <c r="L39" i="11"/>
  <c r="L20" i="11"/>
  <c r="L40" i="11"/>
  <c r="L17" i="11"/>
  <c r="L41" i="11"/>
  <c r="L19" i="11"/>
  <c r="L23" i="11"/>
  <c r="L13" i="11"/>
  <c r="L12" i="11"/>
  <c r="L30" i="11"/>
  <c r="L28" i="11"/>
  <c r="L21" i="11"/>
  <c r="D46" i="5"/>
  <c r="Q44" i="13"/>
  <c r="Q44" i="12"/>
  <c r="Q44" i="10"/>
  <c r="Q44" i="11"/>
  <c r="Y60" i="6"/>
  <c r="Y54" i="8"/>
  <c r="Y58" i="8" s="1"/>
  <c r="Y54" i="9"/>
  <c r="Y54" i="7"/>
  <c r="T15" i="11"/>
  <c r="T27" i="11"/>
  <c r="T13" i="11"/>
  <c r="T11" i="11"/>
  <c r="T9" i="11"/>
  <c r="T7" i="11"/>
  <c r="T5" i="11"/>
  <c r="T12" i="11"/>
  <c r="T10" i="11"/>
  <c r="T8" i="11"/>
  <c r="T6" i="11"/>
  <c r="T32" i="11"/>
  <c r="T33" i="11"/>
  <c r="T30" i="11"/>
  <c r="T19" i="11"/>
  <c r="T39" i="11"/>
  <c r="T28" i="11"/>
  <c r="T21" i="11"/>
  <c r="T41" i="11"/>
  <c r="T18" i="11"/>
  <c r="T34" i="11"/>
  <c r="T23" i="11"/>
  <c r="T36" i="11"/>
  <c r="T25" i="11"/>
  <c r="T22" i="11"/>
  <c r="T38" i="11"/>
  <c r="T31" i="11"/>
  <c r="T20" i="11"/>
  <c r="T40" i="11"/>
  <c r="T29" i="11"/>
  <c r="T16" i="11"/>
  <c r="T17" i="11"/>
  <c r="T14" i="11"/>
  <c r="T35" i="11"/>
  <c r="T24" i="11"/>
  <c r="T26" i="11"/>
  <c r="T37" i="11"/>
  <c r="AA27" i="11"/>
  <c r="U36" i="12"/>
  <c r="U36" i="13"/>
  <c r="Z41" i="13"/>
  <c r="AA41" i="13" s="1"/>
  <c r="S30" i="11"/>
  <c r="R30" i="12"/>
  <c r="S30" i="12" s="1"/>
  <c r="R30" i="13"/>
  <c r="S30" i="13" s="1"/>
  <c r="U31" i="12"/>
  <c r="S31" i="24" s="1"/>
  <c r="S73" i="24" s="1"/>
  <c r="U31" i="13"/>
  <c r="S5" i="11"/>
  <c r="R5" i="12"/>
  <c r="Q5" i="24" s="1"/>
  <c r="Q47" i="24" s="1"/>
  <c r="R5" i="13"/>
  <c r="R43" i="11"/>
  <c r="S9" i="11"/>
  <c r="R9" i="12"/>
  <c r="S9" i="12" s="1"/>
  <c r="R9" i="13"/>
  <c r="S9" i="13" s="1"/>
  <c r="U13" i="12"/>
  <c r="S13" i="24" s="1"/>
  <c r="S55" i="24" s="1"/>
  <c r="U13" i="13"/>
  <c r="U20" i="12"/>
  <c r="S20" i="24" s="1"/>
  <c r="S62" i="24" s="1"/>
  <c r="U20" i="13"/>
  <c r="S33" i="11"/>
  <c r="R33" i="12"/>
  <c r="S33" i="12" s="1"/>
  <c r="R33" i="13"/>
  <c r="S33" i="13" s="1"/>
  <c r="S34" i="11"/>
  <c r="R34" i="12"/>
  <c r="S34" i="12" s="1"/>
  <c r="R34" i="13"/>
  <c r="S34" i="13" s="1"/>
  <c r="U14" i="12"/>
  <c r="S14" i="24" s="1"/>
  <c r="S56" i="24" s="1"/>
  <c r="U14" i="13"/>
  <c r="U6" i="12"/>
  <c r="S6" i="24" s="1"/>
  <c r="S48" i="24" s="1"/>
  <c r="U6" i="13"/>
  <c r="U10" i="12"/>
  <c r="S10" i="24" s="1"/>
  <c r="S52" i="24" s="1"/>
  <c r="U10" i="13"/>
  <c r="S38" i="11"/>
  <c r="R38" i="12"/>
  <c r="S38" i="12" s="1"/>
  <c r="R38" i="13"/>
  <c r="S38" i="13" s="1"/>
  <c r="S32" i="11"/>
  <c r="R32" i="12"/>
  <c r="S32" i="12" s="1"/>
  <c r="R32" i="13"/>
  <c r="S32" i="13" s="1"/>
  <c r="S17" i="11"/>
  <c r="R17" i="12"/>
  <c r="S17" i="12" s="1"/>
  <c r="R17" i="13"/>
  <c r="S17" i="13" s="1"/>
  <c r="AA29" i="11"/>
  <c r="Z29" i="12"/>
  <c r="AA29" i="12" s="1"/>
  <c r="Z29" i="13"/>
  <c r="AA29" i="13" s="1"/>
  <c r="S27" i="11"/>
  <c r="R27" i="12"/>
  <c r="S27" i="12" s="1"/>
  <c r="R27" i="13"/>
  <c r="S27" i="13" s="1"/>
  <c r="Z6" i="12"/>
  <c r="AA6" i="12" s="1"/>
  <c r="AA6" i="11"/>
  <c r="Z10" i="13"/>
  <c r="AA10" i="13" s="1"/>
  <c r="AA15" i="11"/>
  <c r="Z15" i="12"/>
  <c r="AA15" i="12" s="1"/>
  <c r="Z15" i="13"/>
  <c r="AA15" i="13" s="1"/>
  <c r="O43" i="9"/>
  <c r="Q31" i="9"/>
  <c r="Q41" i="9"/>
  <c r="R20" i="12"/>
  <c r="S20" i="12" s="1"/>
  <c r="Z17" i="12"/>
  <c r="AA17" i="12" s="1"/>
  <c r="R26" i="13"/>
  <c r="S26" i="13" s="1"/>
  <c r="M32" i="7"/>
  <c r="AD48" i="7"/>
  <c r="AC48" i="9"/>
  <c r="AD48" i="9" s="1"/>
  <c r="AD31" i="7"/>
  <c r="AC31" i="9"/>
  <c r="AD31" i="9" s="1"/>
  <c r="AD44" i="7"/>
  <c r="AC44" i="9"/>
  <c r="AD44" i="9" s="1"/>
  <c r="AD35" i="7"/>
  <c r="AC35" i="9"/>
  <c r="AD35" i="9" s="1"/>
  <c r="AD24" i="7"/>
  <c r="AC24" i="9"/>
  <c r="AD24" i="9" s="1"/>
  <c r="AD47" i="7"/>
  <c r="AC47" i="9"/>
  <c r="AD47" i="9" s="1"/>
  <c r="AD7" i="7"/>
  <c r="AC7" i="9"/>
  <c r="AD7" i="9" s="1"/>
  <c r="AD15" i="7"/>
  <c r="AC15" i="9"/>
  <c r="AD15" i="9" s="1"/>
  <c r="AD5" i="7"/>
  <c r="AC5" i="9"/>
  <c r="AC53" i="7"/>
  <c r="AC58" i="7" s="1"/>
  <c r="AC31" i="8" s="1"/>
  <c r="AD31" i="8" s="1"/>
  <c r="AD25" i="7"/>
  <c r="AC25" i="9"/>
  <c r="AD25" i="9" s="1"/>
  <c r="AD20" i="7"/>
  <c r="AC20" i="9"/>
  <c r="AD20" i="9" s="1"/>
  <c r="M51" i="7"/>
  <c r="W30" i="9"/>
  <c r="W32" i="9"/>
  <c r="W14" i="9"/>
  <c r="W36" i="9"/>
  <c r="W51" i="9"/>
  <c r="W20" i="9"/>
  <c r="W42" i="9"/>
  <c r="W15" i="9"/>
  <c r="W29" i="9"/>
  <c r="W46" i="9"/>
  <c r="W37" i="9"/>
  <c r="M17" i="7"/>
  <c r="X26" i="9"/>
  <c r="X7" i="9"/>
  <c r="X23" i="9"/>
  <c r="X5" i="8"/>
  <c r="W5" i="23" s="1"/>
  <c r="W57" i="23" s="1"/>
  <c r="X53" i="7"/>
  <c r="X58" i="7" s="1"/>
  <c r="X26" i="8" s="1"/>
  <c r="W26" i="23" s="1"/>
  <c r="W78" i="23" s="1"/>
  <c r="X5" i="9"/>
  <c r="X21" i="9"/>
  <c r="X32" i="9"/>
  <c r="X47" i="9"/>
  <c r="X16" i="9"/>
  <c r="X40" i="9"/>
  <c r="X29" i="9"/>
  <c r="X46" i="8"/>
  <c r="W46" i="23" s="1"/>
  <c r="W98" i="23" s="1"/>
  <c r="X46" i="9"/>
  <c r="S45" i="13"/>
  <c r="S45" i="12"/>
  <c r="S45" i="11"/>
  <c r="S45" i="10"/>
  <c r="AH41" i="9"/>
  <c r="AH43" i="9"/>
  <c r="AH37" i="9"/>
  <c r="AH30" i="9"/>
  <c r="AH48" i="9"/>
  <c r="AH14" i="9"/>
  <c r="AH9" i="9"/>
  <c r="AH25" i="9"/>
  <c r="AH12" i="9"/>
  <c r="AH11" i="9"/>
  <c r="AI37" i="9"/>
  <c r="AI50" i="9"/>
  <c r="AI28" i="9"/>
  <c r="AI29" i="9"/>
  <c r="AI22" i="9"/>
  <c r="AI6" i="9"/>
  <c r="AI26" i="9"/>
  <c r="AI32" i="9"/>
  <c r="AI53" i="7"/>
  <c r="AI58" i="7" s="1"/>
  <c r="AI24" i="8" s="1"/>
  <c r="AE24" i="23" s="1"/>
  <c r="AE76" i="23" s="1"/>
  <c r="AI5" i="9"/>
  <c r="AI25" i="9"/>
  <c r="AI20" i="8"/>
  <c r="AE20" i="23" s="1"/>
  <c r="AE72" i="23" s="1"/>
  <c r="AI20" i="9"/>
  <c r="U12" i="9"/>
  <c r="U15" i="9"/>
  <c r="U31" i="9"/>
  <c r="U19" i="9"/>
  <c r="U48" i="9"/>
  <c r="U14" i="9"/>
  <c r="U37" i="8"/>
  <c r="T37" i="23" s="1"/>
  <c r="T89" i="23" s="1"/>
  <c r="U37" i="9"/>
  <c r="U5" i="9"/>
  <c r="U53" i="7"/>
  <c r="U58" i="7" s="1"/>
  <c r="U31" i="8" s="1"/>
  <c r="T31" i="23" s="1"/>
  <c r="T83" i="23" s="1"/>
  <c r="U21" i="8"/>
  <c r="T21" i="23" s="1"/>
  <c r="T73" i="23" s="1"/>
  <c r="U21" i="9"/>
  <c r="U32" i="9"/>
  <c r="U47" i="9"/>
  <c r="U40" i="9"/>
  <c r="Q37" i="9"/>
  <c r="Q30" i="9"/>
  <c r="Q51" i="9"/>
  <c r="Q12" i="9"/>
  <c r="Q36" i="9"/>
  <c r="Q16" i="9"/>
  <c r="Q9" i="9"/>
  <c r="Q25" i="9"/>
  <c r="Q27" i="9"/>
  <c r="Q14" i="9"/>
  <c r="R34" i="9"/>
  <c r="R35" i="9"/>
  <c r="O11" i="12"/>
  <c r="O11" i="24" s="1"/>
  <c r="O53" i="24" s="1"/>
  <c r="O11" i="13"/>
  <c r="R22" i="13"/>
  <c r="S22" i="13" s="1"/>
  <c r="M34" i="7"/>
  <c r="O33" i="9"/>
  <c r="O35" i="9"/>
  <c r="O23" i="9"/>
  <c r="O38" i="9"/>
  <c r="O34" i="9"/>
  <c r="O50" i="9"/>
  <c r="O6" i="9"/>
  <c r="O15" i="9"/>
  <c r="O5" i="9"/>
  <c r="O53" i="7"/>
  <c r="O58" i="7" s="1"/>
  <c r="O25" i="8" s="1"/>
  <c r="O25" i="23" s="1"/>
  <c r="O77" i="23" s="1"/>
  <c r="O25" i="9"/>
  <c r="O20" i="9"/>
  <c r="L47" i="9"/>
  <c r="L7" i="9"/>
  <c r="L49" i="9"/>
  <c r="L46" i="9"/>
  <c r="L17" i="9"/>
  <c r="L21" i="9"/>
  <c r="L16" i="9"/>
  <c r="L44" i="9"/>
  <c r="L29" i="9"/>
  <c r="L22" i="9"/>
  <c r="S46" i="13"/>
  <c r="S46" i="12"/>
  <c r="S46" i="10"/>
  <c r="S46" i="11"/>
  <c r="P50" i="9"/>
  <c r="P46" i="9"/>
  <c r="P40" i="9"/>
  <c r="P38" i="9"/>
  <c r="P19" i="9"/>
  <c r="P24" i="9"/>
  <c r="P15" i="9"/>
  <c r="P48" i="9"/>
  <c r="P18" i="9"/>
  <c r="P9" i="9"/>
  <c r="P25" i="9"/>
  <c r="M30" i="7"/>
  <c r="R33" i="9"/>
  <c r="L33" i="9"/>
  <c r="O28" i="12"/>
  <c r="O28" i="24" s="1"/>
  <c r="O70" i="24" s="1"/>
  <c r="O28" i="13"/>
  <c r="O12" i="12"/>
  <c r="O12" i="13"/>
  <c r="O36" i="12"/>
  <c r="O36" i="13"/>
  <c r="O41" i="12"/>
  <c r="O5" i="12"/>
  <c r="O5" i="13"/>
  <c r="O9" i="12"/>
  <c r="O9" i="24" s="1"/>
  <c r="O51" i="24" s="1"/>
  <c r="O9" i="13"/>
  <c r="M44" i="7"/>
  <c r="R44" i="9"/>
  <c r="R49" i="9"/>
  <c r="R41" i="9"/>
  <c r="R17" i="9"/>
  <c r="R32" i="9"/>
  <c r="R13" i="9"/>
  <c r="R47" i="9"/>
  <c r="R16" i="9"/>
  <c r="R11" i="9"/>
  <c r="R27" i="9"/>
  <c r="M39" i="7"/>
  <c r="AI21" i="8"/>
  <c r="AE21" i="23" s="1"/>
  <c r="AE73" i="23" s="1"/>
  <c r="AI21" i="9"/>
  <c r="M33" i="7"/>
  <c r="AH35" i="9"/>
  <c r="N15" i="11"/>
  <c r="N17" i="11"/>
  <c r="N12" i="11"/>
  <c r="N11" i="11"/>
  <c r="N10" i="11"/>
  <c r="N9" i="11"/>
  <c r="N8" i="11"/>
  <c r="N7" i="11"/>
  <c r="N6" i="11"/>
  <c r="N5" i="11"/>
  <c r="N16" i="11"/>
  <c r="N30" i="11"/>
  <c r="N31" i="11"/>
  <c r="N20" i="11"/>
  <c r="N40" i="11"/>
  <c r="N21" i="11"/>
  <c r="N41" i="11"/>
  <c r="N18" i="11"/>
  <c r="N34" i="11"/>
  <c r="N14" i="11"/>
  <c r="N35" i="11"/>
  <c r="N24" i="11"/>
  <c r="N25" i="11"/>
  <c r="N13" i="11"/>
  <c r="N32" i="11"/>
  <c r="N22" i="11"/>
  <c r="N38" i="11"/>
  <c r="N27" i="11"/>
  <c r="N19" i="11"/>
  <c r="N39" i="11"/>
  <c r="N28" i="11"/>
  <c r="N29" i="11"/>
  <c r="N26" i="11"/>
  <c r="N23" i="11"/>
  <c r="N36" i="11"/>
  <c r="N37" i="11"/>
  <c r="N33" i="11"/>
  <c r="U28" i="12"/>
  <c r="S28" i="24" s="1"/>
  <c r="S70" i="24" s="1"/>
  <c r="U28" i="13"/>
  <c r="S24" i="11"/>
  <c r="R24" i="12"/>
  <c r="S24" i="12" s="1"/>
  <c r="R24" i="13"/>
  <c r="S24" i="13" s="1"/>
  <c r="Z16" i="12"/>
  <c r="AA16" i="12" s="1"/>
  <c r="AA16" i="11"/>
  <c r="Z16" i="13"/>
  <c r="AA16" i="13" s="1"/>
  <c r="S29" i="11"/>
  <c r="R29" i="12"/>
  <c r="S29" i="12" s="1"/>
  <c r="R29" i="13"/>
  <c r="S29" i="13" s="1"/>
  <c r="U26" i="12"/>
  <c r="S26" i="24" s="1"/>
  <c r="S68" i="24" s="1"/>
  <c r="U26" i="13"/>
  <c r="AA31" i="11"/>
  <c r="Z31" i="12"/>
  <c r="AA31" i="12" s="1"/>
  <c r="Z31" i="13"/>
  <c r="AA31" i="13" s="1"/>
  <c r="S6" i="11"/>
  <c r="R6" i="12"/>
  <c r="S6" i="12" s="1"/>
  <c r="R6" i="13"/>
  <c r="S6" i="13" s="1"/>
  <c r="S10" i="11"/>
  <c r="R10" i="12"/>
  <c r="S10" i="12" s="1"/>
  <c r="R10" i="13"/>
  <c r="S10" i="13" s="1"/>
  <c r="S31" i="11"/>
  <c r="R31" i="12"/>
  <c r="S31" i="12" s="1"/>
  <c r="R31" i="13"/>
  <c r="S31" i="13" s="1"/>
  <c r="U40" i="12"/>
  <c r="S40" i="24" s="1"/>
  <c r="S82" i="24" s="1"/>
  <c r="U40" i="13"/>
  <c r="U17" i="12"/>
  <c r="S17" i="24" s="1"/>
  <c r="S59" i="24" s="1"/>
  <c r="U17" i="13"/>
  <c r="U30" i="12"/>
  <c r="S30" i="24" s="1"/>
  <c r="S72" i="24" s="1"/>
  <c r="U30" i="13"/>
  <c r="U35" i="12"/>
  <c r="S35" i="24" s="1"/>
  <c r="S77" i="24" s="1"/>
  <c r="U35" i="13"/>
  <c r="M10" i="11"/>
  <c r="M9" i="11"/>
  <c r="M8" i="11"/>
  <c r="M7" i="11"/>
  <c r="M6" i="11"/>
  <c r="M5" i="11"/>
  <c r="M15" i="11"/>
  <c r="M26" i="11"/>
  <c r="M20" i="11"/>
  <c r="M24" i="11"/>
  <c r="M40" i="11"/>
  <c r="M12" i="11"/>
  <c r="M25" i="11"/>
  <c r="M41" i="11"/>
  <c r="M22" i="11"/>
  <c r="M23" i="11"/>
  <c r="M36" i="11"/>
  <c r="M13" i="11"/>
  <c r="M14" i="11"/>
  <c r="M21" i="11"/>
  <c r="M29" i="11"/>
  <c r="M30" i="11"/>
  <c r="M27" i="11"/>
  <c r="M11" i="11"/>
  <c r="M31" i="11"/>
  <c r="M28" i="11"/>
  <c r="M33" i="11"/>
  <c r="M34" i="11"/>
  <c r="M35" i="11"/>
  <c r="M16" i="11"/>
  <c r="M18" i="11"/>
  <c r="M19" i="11"/>
  <c r="M38" i="11"/>
  <c r="M39" i="11"/>
  <c r="M17" i="11"/>
  <c r="M32" i="11"/>
  <c r="M37" i="11"/>
  <c r="U7" i="12"/>
  <c r="S7" i="24" s="1"/>
  <c r="S49" i="24" s="1"/>
  <c r="U7" i="13"/>
  <c r="U15" i="12"/>
  <c r="U15" i="13"/>
  <c r="AA38" i="11"/>
  <c r="Z38" i="12"/>
  <c r="AA38" i="12" s="1"/>
  <c r="Z38" i="13"/>
  <c r="AA38" i="13" s="1"/>
  <c r="U24" i="12"/>
  <c r="S24" i="24" s="1"/>
  <c r="S66" i="24" s="1"/>
  <c r="U24" i="13"/>
  <c r="S41" i="11"/>
  <c r="R41" i="12"/>
  <c r="S41" i="12" s="1"/>
  <c r="R41" i="13"/>
  <c r="S41" i="13" s="1"/>
  <c r="S18" i="11"/>
  <c r="R18" i="12"/>
  <c r="S18" i="12" s="1"/>
  <c r="R18" i="13"/>
  <c r="S18" i="13" s="1"/>
  <c r="U19" i="12"/>
  <c r="S19" i="24" s="1"/>
  <c r="S61" i="24" s="1"/>
  <c r="U19" i="13"/>
  <c r="Z22" i="13"/>
  <c r="AA22" i="13" s="1"/>
  <c r="Z7" i="12"/>
  <c r="AA7" i="12" s="1"/>
  <c r="Z12" i="12"/>
  <c r="AA12" i="12" s="1"/>
  <c r="AA12" i="11"/>
  <c r="Z12" i="13"/>
  <c r="AA12" i="13" s="1"/>
  <c r="O42" i="8"/>
  <c r="O42" i="23" s="1"/>
  <c r="O94" i="23" s="1"/>
  <c r="O42" i="9"/>
  <c r="P34" i="9"/>
  <c r="AH45" i="9"/>
  <c r="AI41" i="8"/>
  <c r="AE41" i="23" s="1"/>
  <c r="AE93" i="23" s="1"/>
  <c r="AI41" i="9"/>
  <c r="R26" i="12"/>
  <c r="M40" i="7"/>
  <c r="AD32" i="7"/>
  <c r="AC32" i="9"/>
  <c r="AD32" i="9" s="1"/>
  <c r="AD21" i="7"/>
  <c r="AC21" i="9"/>
  <c r="AD21" i="9" s="1"/>
  <c r="AD28" i="7"/>
  <c r="AC28" i="9"/>
  <c r="AD28" i="9" s="1"/>
  <c r="AD38" i="7"/>
  <c r="AC38" i="8"/>
  <c r="AD38" i="8" s="1"/>
  <c r="AC38" i="9"/>
  <c r="AD38" i="9" s="1"/>
  <c r="AD46" i="7"/>
  <c r="AC46" i="9"/>
  <c r="AD46" i="9" s="1"/>
  <c r="AD26" i="7"/>
  <c r="AC26" i="9"/>
  <c r="AD26" i="9" s="1"/>
  <c r="AC10" i="8"/>
  <c r="AD10" i="8" s="1"/>
  <c r="AD10" i="7"/>
  <c r="AC10" i="9"/>
  <c r="AD10" i="9" s="1"/>
  <c r="AD18" i="7"/>
  <c r="AC18" i="9"/>
  <c r="AD18" i="9" s="1"/>
  <c r="AD9" i="7"/>
  <c r="AC9" i="9"/>
  <c r="AD9" i="9" s="1"/>
  <c r="AD8" i="7"/>
  <c r="AC8" i="9"/>
  <c r="AD8" i="9" s="1"/>
  <c r="M27" i="7"/>
  <c r="W5" i="9"/>
  <c r="W53" i="7"/>
  <c r="W58" i="7" s="1"/>
  <c r="W30" i="8" s="1"/>
  <c r="V30" i="23" s="1"/>
  <c r="V82" i="23" s="1"/>
  <c r="W9" i="9"/>
  <c r="W34" i="9"/>
  <c r="W18" i="9"/>
  <c r="W45" i="9"/>
  <c r="W8" i="9"/>
  <c r="W24" i="9"/>
  <c r="W44" i="9"/>
  <c r="W19" i="9"/>
  <c r="W31" i="9"/>
  <c r="W48" i="9"/>
  <c r="W39" i="9"/>
  <c r="X6" i="8"/>
  <c r="W6" i="23" s="1"/>
  <c r="W58" i="23" s="1"/>
  <c r="X6" i="9"/>
  <c r="X37" i="8"/>
  <c r="X37" i="9"/>
  <c r="X11" i="8"/>
  <c r="X11" i="9"/>
  <c r="X39" i="8"/>
  <c r="W39" i="23" s="1"/>
  <c r="W91" i="23" s="1"/>
  <c r="X39" i="9"/>
  <c r="X9" i="8"/>
  <c r="W9" i="23" s="1"/>
  <c r="W61" i="23" s="1"/>
  <c r="X9" i="9"/>
  <c r="X25" i="8"/>
  <c r="W25" i="23" s="1"/>
  <c r="W77" i="23" s="1"/>
  <c r="X25" i="9"/>
  <c r="X34" i="8"/>
  <c r="W34" i="23" s="1"/>
  <c r="W86" i="23" s="1"/>
  <c r="X34" i="9"/>
  <c r="X49" i="8"/>
  <c r="W49" i="23" s="1"/>
  <c r="W101" i="23" s="1"/>
  <c r="X49" i="9"/>
  <c r="X20" i="8"/>
  <c r="W20" i="23" s="1"/>
  <c r="W72" i="23" s="1"/>
  <c r="X20" i="9"/>
  <c r="X42" i="8"/>
  <c r="W42" i="23" s="1"/>
  <c r="W94" i="23" s="1"/>
  <c r="X42" i="9"/>
  <c r="X31" i="8"/>
  <c r="W31" i="23" s="1"/>
  <c r="W83" i="23" s="1"/>
  <c r="X31" i="9"/>
  <c r="X48" i="8"/>
  <c r="W48" i="23" s="1"/>
  <c r="W100" i="23" s="1"/>
  <c r="X48" i="9"/>
  <c r="AH42" i="9"/>
  <c r="AH44" i="9"/>
  <c r="AH27" i="9"/>
  <c r="AH23" i="9"/>
  <c r="AH39" i="9"/>
  <c r="AH53" i="7"/>
  <c r="AH58" i="7" s="1"/>
  <c r="AH27" i="8" s="1"/>
  <c r="AD27" i="23" s="1"/>
  <c r="AD79" i="23" s="1"/>
  <c r="AH5" i="9"/>
  <c r="AH21" i="9"/>
  <c r="AH10" i="9"/>
  <c r="AH36" i="9"/>
  <c r="AH16" i="8"/>
  <c r="AD16" i="23" s="1"/>
  <c r="AD68" i="23" s="1"/>
  <c r="AH16" i="9"/>
  <c r="AH15" i="9"/>
  <c r="AI47" i="8"/>
  <c r="AE47" i="23" s="1"/>
  <c r="AE99" i="23" s="1"/>
  <c r="AI47" i="9"/>
  <c r="AI36" i="8"/>
  <c r="AE36" i="23" s="1"/>
  <c r="AE88" i="23" s="1"/>
  <c r="AI36" i="9"/>
  <c r="AI43" i="8"/>
  <c r="AE43" i="23" s="1"/>
  <c r="AE95" i="23" s="1"/>
  <c r="AI43" i="9"/>
  <c r="AI31" i="8"/>
  <c r="AE31" i="23" s="1"/>
  <c r="AE83" i="23" s="1"/>
  <c r="AI31" i="9"/>
  <c r="AI30" i="8"/>
  <c r="AE30" i="23" s="1"/>
  <c r="AE82" i="23" s="1"/>
  <c r="AI30" i="9"/>
  <c r="AI14" i="8"/>
  <c r="AE14" i="23" s="1"/>
  <c r="AE66" i="23" s="1"/>
  <c r="AI14" i="9"/>
  <c r="AI7" i="8"/>
  <c r="AE7" i="23" s="1"/>
  <c r="AE59" i="23" s="1"/>
  <c r="AI7" i="9"/>
  <c r="AI34" i="8"/>
  <c r="AE34" i="23" s="1"/>
  <c r="AE86" i="23" s="1"/>
  <c r="AI34" i="9"/>
  <c r="AI9" i="8"/>
  <c r="AE9" i="23" s="1"/>
  <c r="AE61" i="23" s="1"/>
  <c r="AI9" i="9"/>
  <c r="AI8" i="8"/>
  <c r="AI8" i="9"/>
  <c r="R21" i="13"/>
  <c r="S21" i="13" s="1"/>
  <c r="U20" i="8"/>
  <c r="T20" i="23" s="1"/>
  <c r="T72" i="23" s="1"/>
  <c r="U20" i="9"/>
  <c r="U23" i="9"/>
  <c r="U8" i="8"/>
  <c r="T8" i="23" s="1"/>
  <c r="T60" i="23" s="1"/>
  <c r="U8" i="9"/>
  <c r="U27" i="9"/>
  <c r="U50" i="8"/>
  <c r="T50" i="23" s="1"/>
  <c r="T102" i="23" s="1"/>
  <c r="U50" i="9"/>
  <c r="U18" i="9"/>
  <c r="U39" i="8"/>
  <c r="T39" i="23" s="1"/>
  <c r="T91" i="23" s="1"/>
  <c r="U39" i="9"/>
  <c r="U9" i="9"/>
  <c r="U25" i="8"/>
  <c r="T25" i="23" s="1"/>
  <c r="T77" i="23" s="1"/>
  <c r="U25" i="9"/>
  <c r="U34" i="9"/>
  <c r="U49" i="8"/>
  <c r="T49" i="23" s="1"/>
  <c r="T101" i="23" s="1"/>
  <c r="U49" i="9"/>
  <c r="U42" i="9"/>
  <c r="Q11" i="9"/>
  <c r="Q20" i="9"/>
  <c r="Q40" i="9"/>
  <c r="Q45" i="9"/>
  <c r="Q35" i="9"/>
  <c r="Q24" i="9"/>
  <c r="Q13" i="9"/>
  <c r="Q42" i="9"/>
  <c r="Q29" i="9"/>
  <c r="Q22" i="9"/>
  <c r="R45" i="9"/>
  <c r="AD45" i="7"/>
  <c r="AC45" i="8"/>
  <c r="AD45" i="8" s="1"/>
  <c r="AC45" i="9"/>
  <c r="AD45" i="9" s="1"/>
  <c r="R16" i="13"/>
  <c r="S16" i="13" s="1"/>
  <c r="R22" i="12"/>
  <c r="S22" i="12" s="1"/>
  <c r="M42" i="7"/>
  <c r="O32" i="8"/>
  <c r="O32" i="23" s="1"/>
  <c r="O84" i="23" s="1"/>
  <c r="O32" i="9"/>
  <c r="O30" i="8"/>
  <c r="O30" i="23" s="1"/>
  <c r="O82" i="23" s="1"/>
  <c r="O30" i="9"/>
  <c r="O27" i="8"/>
  <c r="O27" i="23" s="1"/>
  <c r="O79" i="23" s="1"/>
  <c r="O27" i="9"/>
  <c r="O22" i="8"/>
  <c r="O22" i="23" s="1"/>
  <c r="O74" i="23" s="1"/>
  <c r="O22" i="9"/>
  <c r="O36" i="8"/>
  <c r="O36" i="23" s="1"/>
  <c r="O88" i="23" s="1"/>
  <c r="O36" i="9"/>
  <c r="O18" i="8"/>
  <c r="O18" i="9"/>
  <c r="O14" i="8"/>
  <c r="O14" i="23" s="1"/>
  <c r="O66" i="23" s="1"/>
  <c r="O14" i="9"/>
  <c r="O19" i="8"/>
  <c r="O19" i="23" s="1"/>
  <c r="O71" i="23" s="1"/>
  <c r="O19" i="9"/>
  <c r="O9" i="8"/>
  <c r="O9" i="9"/>
  <c r="O9" i="23" s="1"/>
  <c r="O61" i="23" s="1"/>
  <c r="O8" i="8"/>
  <c r="O8" i="23" s="1"/>
  <c r="O60" i="23" s="1"/>
  <c r="O8" i="9"/>
  <c r="M29" i="7"/>
  <c r="L31" i="9"/>
  <c r="L43" i="9"/>
  <c r="L32" i="9"/>
  <c r="L45" i="9"/>
  <c r="L25" i="9"/>
  <c r="L9" i="9"/>
  <c r="L20" i="9"/>
  <c r="L15" i="9"/>
  <c r="L6" i="9"/>
  <c r="L26" i="9"/>
  <c r="M47" i="7"/>
  <c r="P49" i="9"/>
  <c r="P45" i="9"/>
  <c r="P51" i="9"/>
  <c r="P8" i="9"/>
  <c r="P29" i="9"/>
  <c r="P33" i="9"/>
  <c r="P23" i="9"/>
  <c r="P6" i="9"/>
  <c r="P22" i="9"/>
  <c r="P13" i="9"/>
  <c r="P28" i="9"/>
  <c r="M25" i="7"/>
  <c r="M22" i="7"/>
  <c r="AI27" i="8"/>
  <c r="AE27" i="23" s="1"/>
  <c r="AE79" i="23" s="1"/>
  <c r="AI27" i="9"/>
  <c r="R36" i="13"/>
  <c r="S36" i="13" s="1"/>
  <c r="O33" i="13"/>
  <c r="O14" i="12"/>
  <c r="O14" i="13"/>
  <c r="O20" i="12"/>
  <c r="O23" i="12"/>
  <c r="O23" i="13"/>
  <c r="O6" i="12"/>
  <c r="O6" i="13"/>
  <c r="O10" i="12"/>
  <c r="M8" i="7"/>
  <c r="R31" i="9"/>
  <c r="R43" i="9"/>
  <c r="R39" i="9"/>
  <c r="R48" i="9"/>
  <c r="R18" i="9"/>
  <c r="R36" i="9"/>
  <c r="R14" i="9"/>
  <c r="R51" i="9"/>
  <c r="R20" i="9"/>
  <c r="R15" i="9"/>
  <c r="R29" i="9"/>
  <c r="S53" i="7"/>
  <c r="L47" i="11"/>
  <c r="L47" i="12"/>
  <c r="AH32" i="8"/>
  <c r="AD32" i="23" s="1"/>
  <c r="AD84" i="23" s="1"/>
  <c r="AH32" i="9"/>
  <c r="AA53" i="9"/>
  <c r="M14" i="7"/>
  <c r="M7" i="7"/>
  <c r="V54" i="9"/>
  <c r="V54" i="7"/>
  <c r="V54" i="8"/>
  <c r="V58" i="8" s="1"/>
  <c r="S13" i="11"/>
  <c r="R13" i="12"/>
  <c r="S13" i="12" s="1"/>
  <c r="R13" i="13"/>
  <c r="S13" i="13" s="1"/>
  <c r="S40" i="11"/>
  <c r="R40" i="12"/>
  <c r="S40" i="12" s="1"/>
  <c r="R40" i="13"/>
  <c r="S40" i="13" s="1"/>
  <c r="Z36" i="12"/>
  <c r="AA36" i="12" s="1"/>
  <c r="AA36" i="11"/>
  <c r="Z36" i="13"/>
  <c r="AA36" i="13" s="1"/>
  <c r="U33" i="12"/>
  <c r="S33" i="24" s="1"/>
  <c r="S75" i="24" s="1"/>
  <c r="U33" i="13"/>
  <c r="AA34" i="11"/>
  <c r="Z34" i="12"/>
  <c r="AA34" i="12" s="1"/>
  <c r="Z34" i="13"/>
  <c r="AA34" i="13" s="1"/>
  <c r="S37" i="11"/>
  <c r="R37" i="12"/>
  <c r="S37" i="12" s="1"/>
  <c r="R37" i="13"/>
  <c r="S37" i="13" s="1"/>
  <c r="S7" i="11"/>
  <c r="R7" i="12"/>
  <c r="S7" i="12" s="1"/>
  <c r="R7" i="13"/>
  <c r="S7" i="13" s="1"/>
  <c r="U23" i="12"/>
  <c r="S23" i="24" s="1"/>
  <c r="S65" i="24" s="1"/>
  <c r="U23" i="13"/>
  <c r="Z20" i="12"/>
  <c r="AA20" i="12" s="1"/>
  <c r="AA20" i="11"/>
  <c r="Z20" i="13"/>
  <c r="AA20" i="13" s="1"/>
  <c r="U37" i="12"/>
  <c r="S37" i="24" s="1"/>
  <c r="S79" i="24" s="1"/>
  <c r="U37" i="13"/>
  <c r="AA18" i="11"/>
  <c r="Z18" i="12"/>
  <c r="AA18" i="12" s="1"/>
  <c r="Z18" i="13"/>
  <c r="AA18" i="13" s="1"/>
  <c r="Z14" i="12"/>
  <c r="AA14" i="12" s="1"/>
  <c r="AA14" i="11"/>
  <c r="Z14" i="13"/>
  <c r="AA14" i="13" s="1"/>
  <c r="U29" i="12"/>
  <c r="S29" i="24" s="1"/>
  <c r="S71" i="24" s="1"/>
  <c r="U29" i="13"/>
  <c r="U8" i="12"/>
  <c r="S8" i="24" s="1"/>
  <c r="S50" i="24" s="1"/>
  <c r="U8" i="13"/>
  <c r="M13" i="7"/>
  <c r="S39" i="11"/>
  <c r="R39" i="12"/>
  <c r="S39" i="12" s="1"/>
  <c r="R39" i="13"/>
  <c r="S39" i="13" s="1"/>
  <c r="Z24" i="12"/>
  <c r="AA24" i="12" s="1"/>
  <c r="AA24" i="11"/>
  <c r="Z24" i="13"/>
  <c r="AA24" i="13" s="1"/>
  <c r="U21" i="12"/>
  <c r="S21" i="24" s="1"/>
  <c r="S63" i="24" s="1"/>
  <c r="U21" i="13"/>
  <c r="U38" i="12"/>
  <c r="S38" i="24" s="1"/>
  <c r="S80" i="24" s="1"/>
  <c r="U38" i="13"/>
  <c r="U39" i="12"/>
  <c r="S39" i="24" s="1"/>
  <c r="S81" i="24" s="1"/>
  <c r="U39" i="13"/>
  <c r="AA33" i="11"/>
  <c r="Z33" i="12"/>
  <c r="AA33" i="12" s="1"/>
  <c r="Z33" i="13"/>
  <c r="AA33" i="13" s="1"/>
  <c r="Z8" i="12"/>
  <c r="AA8" i="12" s="1"/>
  <c r="AA8" i="11"/>
  <c r="Z8" i="13"/>
  <c r="AA8" i="13" s="1"/>
  <c r="Z13" i="12"/>
  <c r="AA13" i="12" s="1"/>
  <c r="AA13" i="11"/>
  <c r="Z13" i="13"/>
  <c r="AA13" i="13" s="1"/>
  <c r="L37" i="9"/>
  <c r="L38" i="9"/>
  <c r="AI44" i="8"/>
  <c r="AE44" i="23" s="1"/>
  <c r="AE96" i="23" s="1"/>
  <c r="AI44" i="9"/>
  <c r="Z28" i="12"/>
  <c r="AA28" i="12" s="1"/>
  <c r="R25" i="13"/>
  <c r="S25" i="13" s="1"/>
  <c r="M48" i="7"/>
  <c r="AD33" i="7"/>
  <c r="AC33" i="9"/>
  <c r="AD33" i="9" s="1"/>
  <c r="AD43" i="7"/>
  <c r="AC43" i="8"/>
  <c r="AD43" i="8" s="1"/>
  <c r="AC43" i="9"/>
  <c r="AD43" i="9" s="1"/>
  <c r="AD29" i="7"/>
  <c r="AC29" i="9"/>
  <c r="AD29" i="9" s="1"/>
  <c r="AD40" i="7"/>
  <c r="AC40" i="9"/>
  <c r="AD40" i="9" s="1"/>
  <c r="AD27" i="7"/>
  <c r="AC27" i="9"/>
  <c r="AD27" i="9" s="1"/>
  <c r="AD37" i="7"/>
  <c r="AC37" i="8"/>
  <c r="AD37" i="8" s="1"/>
  <c r="AC37" i="9"/>
  <c r="AD37" i="9" s="1"/>
  <c r="AD11" i="7"/>
  <c r="AC11" i="9"/>
  <c r="AD11" i="9" s="1"/>
  <c r="AD19" i="7"/>
  <c r="AC19" i="9"/>
  <c r="AD19" i="9" s="1"/>
  <c r="AC13" i="8"/>
  <c r="AD13" i="8" s="1"/>
  <c r="AD13" i="7"/>
  <c r="AC13" i="9"/>
  <c r="AD13" i="9" s="1"/>
  <c r="AD12" i="7"/>
  <c r="AC12" i="9"/>
  <c r="AD12" i="9" s="1"/>
  <c r="M35" i="7"/>
  <c r="W13" i="8"/>
  <c r="V13" i="23" s="1"/>
  <c r="V65" i="23" s="1"/>
  <c r="W13" i="9"/>
  <c r="W17" i="8"/>
  <c r="W17" i="9"/>
  <c r="W6" i="8"/>
  <c r="V6" i="23" s="1"/>
  <c r="V58" i="23" s="1"/>
  <c r="W6" i="9"/>
  <c r="W22" i="8"/>
  <c r="V22" i="23" s="1"/>
  <c r="V74" i="23" s="1"/>
  <c r="W22" i="9"/>
  <c r="W47" i="8"/>
  <c r="V47" i="23" s="1"/>
  <c r="V99" i="23" s="1"/>
  <c r="W47" i="9"/>
  <c r="W12" i="8"/>
  <c r="V12" i="23" s="1"/>
  <c r="V64" i="23" s="1"/>
  <c r="W12" i="9"/>
  <c r="W38" i="8"/>
  <c r="V38" i="23" s="1"/>
  <c r="V90" i="23" s="1"/>
  <c r="W38" i="9"/>
  <c r="W7" i="8"/>
  <c r="V7" i="23" s="1"/>
  <c r="V59" i="23" s="1"/>
  <c r="W7" i="9"/>
  <c r="W23" i="8"/>
  <c r="V23" i="23" s="1"/>
  <c r="V75" i="23" s="1"/>
  <c r="W23" i="9"/>
  <c r="W33" i="8"/>
  <c r="V33" i="23" s="1"/>
  <c r="V85" i="23" s="1"/>
  <c r="W33" i="9"/>
  <c r="W50" i="8"/>
  <c r="W50" i="9"/>
  <c r="W41" i="8"/>
  <c r="V41" i="23" s="1"/>
  <c r="V93" i="23" s="1"/>
  <c r="W41" i="9"/>
  <c r="X14" i="8"/>
  <c r="W14" i="23" s="1"/>
  <c r="W66" i="23" s="1"/>
  <c r="X14" i="9"/>
  <c r="X10" i="8"/>
  <c r="W10" i="23" s="1"/>
  <c r="W62" i="23" s="1"/>
  <c r="X10" i="9"/>
  <c r="X15" i="8"/>
  <c r="W15" i="23" s="1"/>
  <c r="W67" i="23" s="1"/>
  <c r="X15" i="9"/>
  <c r="X41" i="8"/>
  <c r="W41" i="23" s="1"/>
  <c r="W93" i="23" s="1"/>
  <c r="X41" i="9"/>
  <c r="X13" i="8"/>
  <c r="W13" i="23" s="1"/>
  <c r="W65" i="23" s="1"/>
  <c r="X13" i="9"/>
  <c r="X28" i="8"/>
  <c r="X28" i="9"/>
  <c r="X36" i="8"/>
  <c r="W36" i="23" s="1"/>
  <c r="W88" i="23" s="1"/>
  <c r="X36" i="9"/>
  <c r="X8" i="8"/>
  <c r="W8" i="23" s="1"/>
  <c r="W60" i="23" s="1"/>
  <c r="X8" i="9"/>
  <c r="X24" i="8"/>
  <c r="W24" i="23" s="1"/>
  <c r="W76" i="23" s="1"/>
  <c r="X24" i="9"/>
  <c r="X44" i="8"/>
  <c r="W44" i="23" s="1"/>
  <c r="W96" i="23" s="1"/>
  <c r="X44" i="9"/>
  <c r="X33" i="8"/>
  <c r="W33" i="23" s="1"/>
  <c r="W85" i="23" s="1"/>
  <c r="X33" i="9"/>
  <c r="X50" i="8"/>
  <c r="W50" i="23" s="1"/>
  <c r="W102" i="23" s="1"/>
  <c r="X50" i="9"/>
  <c r="AH47" i="8"/>
  <c r="AD47" i="23" s="1"/>
  <c r="AD99" i="23" s="1"/>
  <c r="AH47" i="9"/>
  <c r="AH49" i="8"/>
  <c r="AD49" i="23" s="1"/>
  <c r="AD101" i="23" s="1"/>
  <c r="AH49" i="9"/>
  <c r="AH33" i="8"/>
  <c r="AD33" i="23" s="1"/>
  <c r="AD85" i="23" s="1"/>
  <c r="AH33" i="9"/>
  <c r="AH51" i="8"/>
  <c r="AD51" i="23" s="1"/>
  <c r="AD103" i="23" s="1"/>
  <c r="AH51" i="9"/>
  <c r="AH24" i="8"/>
  <c r="AD24" i="23" s="1"/>
  <c r="AD76" i="23" s="1"/>
  <c r="AH24" i="9"/>
  <c r="AH6" i="8"/>
  <c r="AD6" i="23" s="1"/>
  <c r="AD58" i="23" s="1"/>
  <c r="AH6" i="9"/>
  <c r="AH22" i="8"/>
  <c r="AD22" i="23" s="1"/>
  <c r="AD74" i="23" s="1"/>
  <c r="AH22" i="9"/>
  <c r="AH17" i="8"/>
  <c r="AD17" i="23" s="1"/>
  <c r="AD69" i="23" s="1"/>
  <c r="AH17" i="9"/>
  <c r="AH40" i="8"/>
  <c r="AH40" i="9"/>
  <c r="AH20" i="8"/>
  <c r="AD20" i="23" s="1"/>
  <c r="AD72" i="23" s="1"/>
  <c r="AH20" i="9"/>
  <c r="AH19" i="8"/>
  <c r="AD19" i="23" s="1"/>
  <c r="AD71" i="23" s="1"/>
  <c r="AH19" i="9"/>
  <c r="AI51" i="8"/>
  <c r="AE51" i="23" s="1"/>
  <c r="AE103" i="23" s="1"/>
  <c r="AI51" i="9"/>
  <c r="AI33" i="8"/>
  <c r="AE33" i="23" s="1"/>
  <c r="AE85" i="23" s="1"/>
  <c r="AI33" i="9"/>
  <c r="AI38" i="8"/>
  <c r="AE38" i="23" s="1"/>
  <c r="AE90" i="23" s="1"/>
  <c r="AI38" i="9"/>
  <c r="AI46" i="8"/>
  <c r="AE46" i="23" s="1"/>
  <c r="AE98" i="23" s="1"/>
  <c r="AI46" i="9"/>
  <c r="AI11" i="8"/>
  <c r="AE11" i="23" s="1"/>
  <c r="AE63" i="23" s="1"/>
  <c r="AI11" i="9"/>
  <c r="AI10" i="8"/>
  <c r="AE10" i="23" s="1"/>
  <c r="AE62" i="23" s="1"/>
  <c r="AI10" i="9"/>
  <c r="AI15" i="8"/>
  <c r="AE15" i="23" s="1"/>
  <c r="AE67" i="23" s="1"/>
  <c r="AI15" i="9"/>
  <c r="AI45" i="8"/>
  <c r="AE45" i="23" s="1"/>
  <c r="AE97" i="23" s="1"/>
  <c r="AI45" i="9"/>
  <c r="AI13" i="8"/>
  <c r="AE13" i="23" s="1"/>
  <c r="AE65" i="23" s="1"/>
  <c r="AI13" i="9"/>
  <c r="AI12" i="8"/>
  <c r="AE12" i="23" s="1"/>
  <c r="AE64" i="23" s="1"/>
  <c r="AI12" i="9"/>
  <c r="R21" i="12"/>
  <c r="S21" i="12" s="1"/>
  <c r="U35" i="9"/>
  <c r="U24" i="8"/>
  <c r="T24" i="23" s="1"/>
  <c r="T76" i="23" s="1"/>
  <c r="U24" i="9"/>
  <c r="U16" i="9"/>
  <c r="U33" i="8"/>
  <c r="U33" i="9"/>
  <c r="U6" i="9"/>
  <c r="U22" i="8"/>
  <c r="T22" i="23" s="1"/>
  <c r="T74" i="23" s="1"/>
  <c r="U22" i="9"/>
  <c r="U41" i="9"/>
  <c r="U13" i="8"/>
  <c r="T13" i="23" s="1"/>
  <c r="T65" i="23" s="1"/>
  <c r="U13" i="9"/>
  <c r="U28" i="9"/>
  <c r="U36" i="8"/>
  <c r="T36" i="23" s="1"/>
  <c r="T88" i="23" s="1"/>
  <c r="U36" i="9"/>
  <c r="U51" i="9"/>
  <c r="U44" i="8"/>
  <c r="T44" i="23" s="1"/>
  <c r="T96" i="23" s="1"/>
  <c r="U44" i="9"/>
  <c r="Q44" i="9"/>
  <c r="Q49" i="9"/>
  <c r="Q39" i="9"/>
  <c r="Q43" i="9"/>
  <c r="Q18" i="9"/>
  <c r="Q38" i="9"/>
  <c r="Q17" i="9"/>
  <c r="Q15" i="9"/>
  <c r="Q6" i="9"/>
  <c r="Q26" i="9"/>
  <c r="Q19" i="9"/>
  <c r="O40" i="8"/>
  <c r="O40" i="23" s="1"/>
  <c r="O92" i="23" s="1"/>
  <c r="O40" i="9"/>
  <c r="AD36" i="7"/>
  <c r="AC36" i="9"/>
  <c r="AD36" i="9" s="1"/>
  <c r="R16" i="12"/>
  <c r="S16" i="12" s="1"/>
  <c r="Z53" i="8"/>
  <c r="M50" i="7"/>
  <c r="O31" i="8"/>
  <c r="O31" i="23" s="1"/>
  <c r="O83" i="23" s="1"/>
  <c r="O31" i="9"/>
  <c r="O39" i="8"/>
  <c r="O39" i="23" s="1"/>
  <c r="O91" i="23" s="1"/>
  <c r="O39" i="9"/>
  <c r="O46" i="8"/>
  <c r="O46" i="23" s="1"/>
  <c r="O98" i="23" s="1"/>
  <c r="O46" i="9"/>
  <c r="O49" i="8"/>
  <c r="O49" i="23" s="1"/>
  <c r="O101" i="23" s="1"/>
  <c r="O49" i="9"/>
  <c r="O51" i="8"/>
  <c r="O51" i="23" s="1"/>
  <c r="O103" i="23" s="1"/>
  <c r="O51" i="9"/>
  <c r="O37" i="8"/>
  <c r="O37" i="9"/>
  <c r="O7" i="8"/>
  <c r="O7" i="23" s="1"/>
  <c r="O59" i="23" s="1"/>
  <c r="O7" i="9"/>
  <c r="O26" i="8"/>
  <c r="O26" i="23" s="1"/>
  <c r="O78" i="23" s="1"/>
  <c r="O26" i="9"/>
  <c r="O13" i="8"/>
  <c r="O13" i="23" s="1"/>
  <c r="O65" i="23" s="1"/>
  <c r="O13" i="9"/>
  <c r="O12" i="8"/>
  <c r="O12" i="23" s="1"/>
  <c r="O64" i="23" s="1"/>
  <c r="O12" i="9"/>
  <c r="M37" i="7"/>
  <c r="L30" i="9"/>
  <c r="L19" i="9"/>
  <c r="L39" i="9"/>
  <c r="L34" i="9"/>
  <c r="L5" i="9"/>
  <c r="L53" i="7"/>
  <c r="L58" i="7" s="1"/>
  <c r="L47" i="8" s="1"/>
  <c r="L47" i="23" s="1"/>
  <c r="L99" i="23" s="1"/>
  <c r="L8" i="9"/>
  <c r="L24" i="9"/>
  <c r="L23" i="8"/>
  <c r="L23" i="23" s="1"/>
  <c r="L75" i="23" s="1"/>
  <c r="L23" i="9"/>
  <c r="L10" i="9"/>
  <c r="L28" i="9"/>
  <c r="P43" i="9"/>
  <c r="P32" i="9"/>
  <c r="P42" i="9"/>
  <c r="P30" i="9"/>
  <c r="P16" i="9"/>
  <c r="P31" i="9"/>
  <c r="P12" i="9"/>
  <c r="P27" i="9"/>
  <c r="P10" i="9"/>
  <c r="P26" i="9"/>
  <c r="P17" i="9"/>
  <c r="M23" i="7"/>
  <c r="M41" i="7"/>
  <c r="Q48" i="9"/>
  <c r="AH26" i="8"/>
  <c r="AD26" i="23" s="1"/>
  <c r="AD78" i="23" s="1"/>
  <c r="AH26" i="9"/>
  <c r="R36" i="12"/>
  <c r="S36" i="12" s="1"/>
  <c r="Z37" i="12"/>
  <c r="AA37" i="12" s="1"/>
  <c r="R35" i="13"/>
  <c r="S35" i="13" s="1"/>
  <c r="O39" i="12"/>
  <c r="O39" i="24" s="1"/>
  <c r="O81" i="24" s="1"/>
  <c r="O39" i="13"/>
  <c r="O40" i="12"/>
  <c r="O40" i="24" s="1"/>
  <c r="O82" i="24" s="1"/>
  <c r="O40" i="13"/>
  <c r="O22" i="12"/>
  <c r="O22" i="24" s="1"/>
  <c r="O64" i="24" s="1"/>
  <c r="O22" i="13"/>
  <c r="O31" i="12"/>
  <c r="O31" i="24" s="1"/>
  <c r="O73" i="24" s="1"/>
  <c r="O31" i="13"/>
  <c r="O29" i="12"/>
  <c r="O29" i="24" s="1"/>
  <c r="O71" i="24" s="1"/>
  <c r="O29" i="13"/>
  <c r="O34" i="12"/>
  <c r="O34" i="24" s="1"/>
  <c r="O76" i="24" s="1"/>
  <c r="O34" i="13"/>
  <c r="O7" i="12"/>
  <c r="O7" i="24" s="1"/>
  <c r="O49" i="24" s="1"/>
  <c r="O7" i="13"/>
  <c r="O15" i="12"/>
  <c r="O15" i="24" s="1"/>
  <c r="O57" i="24" s="1"/>
  <c r="O15" i="13"/>
  <c r="M28" i="7"/>
  <c r="R37" i="9"/>
  <c r="R40" i="9"/>
  <c r="R50" i="9"/>
  <c r="R9" i="9"/>
  <c r="R25" i="9"/>
  <c r="R5" i="9"/>
  <c r="R53" i="7"/>
  <c r="R21" i="9"/>
  <c r="R8" i="9"/>
  <c r="R24" i="9"/>
  <c r="R19" i="9"/>
  <c r="R26" i="9"/>
  <c r="M12" i="7"/>
  <c r="M15" i="7"/>
  <c r="M16" i="7"/>
  <c r="M10" i="7"/>
  <c r="M6" i="7"/>
  <c r="M5" i="7"/>
  <c r="M9" i="7"/>
  <c r="V15" i="11"/>
  <c r="V10" i="11"/>
  <c r="V9" i="11"/>
  <c r="V8" i="11"/>
  <c r="V7" i="11"/>
  <c r="V6" i="11"/>
  <c r="V5" i="11"/>
  <c r="V11" i="11"/>
  <c r="V22" i="11"/>
  <c r="V23" i="11"/>
  <c r="V20" i="11"/>
  <c r="V40" i="11"/>
  <c r="V21" i="11"/>
  <c r="V41" i="11"/>
  <c r="V30" i="11"/>
  <c r="V24" i="11"/>
  <c r="V26" i="11"/>
  <c r="V19" i="11"/>
  <c r="V27" i="11"/>
  <c r="V28" i="11"/>
  <c r="V29" i="11"/>
  <c r="V12" i="11"/>
  <c r="V13" i="11"/>
  <c r="V34" i="11"/>
  <c r="V35" i="11"/>
  <c r="V31" i="11"/>
  <c r="V32" i="11"/>
  <c r="V33" i="11"/>
  <c r="V14" i="11"/>
  <c r="V16" i="11"/>
  <c r="V39" i="11"/>
  <c r="V36" i="11"/>
  <c r="V17" i="11"/>
  <c r="V25" i="11"/>
  <c r="V18" i="11"/>
  <c r="V37" i="11"/>
  <c r="V38" i="11"/>
  <c r="V51" i="7"/>
  <c r="V49" i="7"/>
  <c r="V47" i="7"/>
  <c r="V45" i="7"/>
  <c r="V36" i="7"/>
  <c r="V34" i="7"/>
  <c r="V32" i="7"/>
  <c r="V30" i="7"/>
  <c r="V28" i="7"/>
  <c r="V43" i="7"/>
  <c r="V41" i="7"/>
  <c r="V39" i="7"/>
  <c r="V37" i="7"/>
  <c r="V26" i="7"/>
  <c r="V22" i="7"/>
  <c r="V18" i="7"/>
  <c r="V14" i="7"/>
  <c r="V10" i="7"/>
  <c r="V6" i="7"/>
  <c r="V50" i="7"/>
  <c r="V48" i="7"/>
  <c r="V46" i="7"/>
  <c r="V35" i="7"/>
  <c r="V33" i="7"/>
  <c r="V31" i="7"/>
  <c r="V29" i="7"/>
  <c r="V27" i="7"/>
  <c r="V23" i="7"/>
  <c r="V19" i="7"/>
  <c r="V15" i="7"/>
  <c r="V11" i="7"/>
  <c r="V7" i="7"/>
  <c r="V44" i="7"/>
  <c r="V42" i="7"/>
  <c r="V40" i="7"/>
  <c r="V24" i="7"/>
  <c r="V20" i="7"/>
  <c r="V16" i="7"/>
  <c r="V12" i="7"/>
  <c r="V8" i="7"/>
  <c r="V25" i="7"/>
  <c r="V9" i="7"/>
  <c r="V13" i="7"/>
  <c r="V5" i="7"/>
  <c r="V38" i="7"/>
  <c r="V17" i="7"/>
  <c r="V21" i="7"/>
  <c r="P15" i="11"/>
  <c r="P10" i="11"/>
  <c r="P9" i="11"/>
  <c r="P8" i="11"/>
  <c r="P7" i="11"/>
  <c r="P6" i="11"/>
  <c r="P5" i="11"/>
  <c r="P19" i="11"/>
  <c r="P18" i="11"/>
  <c r="P34" i="11"/>
  <c r="P31" i="11"/>
  <c r="P32" i="11"/>
  <c r="P21" i="11"/>
  <c r="P11" i="11"/>
  <c r="P12" i="11"/>
  <c r="P22" i="11"/>
  <c r="P38" i="11"/>
  <c r="P35" i="11"/>
  <c r="P14" i="11"/>
  <c r="P39" i="11"/>
  <c r="P16" i="11"/>
  <c r="P36" i="11"/>
  <c r="P29" i="11"/>
  <c r="P24" i="11"/>
  <c r="P25" i="11"/>
  <c r="P26" i="11"/>
  <c r="P23" i="11"/>
  <c r="P20" i="11"/>
  <c r="P33" i="11"/>
  <c r="P41" i="11"/>
  <c r="P30" i="11"/>
  <c r="P28" i="11"/>
  <c r="P17" i="11"/>
  <c r="P40" i="11"/>
  <c r="P13" i="11"/>
  <c r="P37" i="11"/>
  <c r="P27" i="11"/>
  <c r="S14" i="11"/>
  <c r="R14" i="12"/>
  <c r="S14" i="12" s="1"/>
  <c r="R14" i="13"/>
  <c r="S14" i="13" s="1"/>
  <c r="U16" i="12"/>
  <c r="S16" i="24" s="1"/>
  <c r="S58" i="24" s="1"/>
  <c r="U16" i="13"/>
  <c r="U12" i="12"/>
  <c r="S12" i="24" s="1"/>
  <c r="S54" i="24" s="1"/>
  <c r="U12" i="13"/>
  <c r="AA21" i="11"/>
  <c r="Z21" i="12"/>
  <c r="AA21" i="12" s="1"/>
  <c r="Z21" i="13"/>
  <c r="AA21" i="13" s="1"/>
  <c r="S19" i="11"/>
  <c r="R19" i="12"/>
  <c r="S19" i="12" s="1"/>
  <c r="R19" i="13"/>
  <c r="S19" i="13" s="1"/>
  <c r="S15" i="11"/>
  <c r="R15" i="12"/>
  <c r="S15" i="12" s="1"/>
  <c r="R15" i="13"/>
  <c r="S15" i="13" s="1"/>
  <c r="S8" i="11"/>
  <c r="R8" i="12"/>
  <c r="S8" i="12" s="1"/>
  <c r="R8" i="13"/>
  <c r="S8" i="13" s="1"/>
  <c r="S28" i="11"/>
  <c r="R28" i="12"/>
  <c r="S28" i="12" s="1"/>
  <c r="R28" i="13"/>
  <c r="S28" i="13" s="1"/>
  <c r="Z40" i="13"/>
  <c r="AA40" i="13" s="1"/>
  <c r="AA25" i="11"/>
  <c r="S23" i="11"/>
  <c r="R23" i="12"/>
  <c r="S23" i="12" s="1"/>
  <c r="R23" i="13"/>
  <c r="S23" i="13" s="1"/>
  <c r="Z35" i="12"/>
  <c r="AA35" i="12" s="1"/>
  <c r="U5" i="12"/>
  <c r="S5" i="24" s="1"/>
  <c r="S47" i="24" s="1"/>
  <c r="U5" i="13"/>
  <c r="U43" i="11"/>
  <c r="U9" i="12"/>
  <c r="U9" i="13"/>
  <c r="Z11" i="12"/>
  <c r="AA11" i="12" s="1"/>
  <c r="AA11" i="11"/>
  <c r="Z11" i="13"/>
  <c r="AA11" i="13" s="1"/>
  <c r="S11" i="11"/>
  <c r="R11" i="12"/>
  <c r="S11" i="12" s="1"/>
  <c r="R11" i="13"/>
  <c r="S11" i="13" s="1"/>
  <c r="S12" i="11"/>
  <c r="R12" i="12"/>
  <c r="S12" i="12" s="1"/>
  <c r="R12" i="13"/>
  <c r="S12" i="13" s="1"/>
  <c r="W41" i="11"/>
  <c r="U41" i="12"/>
  <c r="S41" i="24" s="1"/>
  <c r="S83" i="24" s="1"/>
  <c r="U41" i="13"/>
  <c r="AA26" i="11"/>
  <c r="Z26" i="12"/>
  <c r="AA26" i="12" s="1"/>
  <c r="Z26" i="13"/>
  <c r="AA26" i="13" s="1"/>
  <c r="AA19" i="11"/>
  <c r="Z19" i="12"/>
  <c r="AA19" i="12" s="1"/>
  <c r="Z19" i="13"/>
  <c r="AA19" i="13" s="1"/>
  <c r="Z5" i="12"/>
  <c r="V5" i="24" s="1"/>
  <c r="V47" i="24" s="1"/>
  <c r="AA5" i="11"/>
  <c r="Z5" i="13"/>
  <c r="Z9" i="12"/>
  <c r="AA9" i="12" s="1"/>
  <c r="AA9" i="11"/>
  <c r="Z9" i="13"/>
  <c r="AA9" i="13" s="1"/>
  <c r="AA39" i="11"/>
  <c r="Z39" i="12"/>
  <c r="AA39" i="12" s="1"/>
  <c r="Z39" i="13"/>
  <c r="AA39" i="13" s="1"/>
  <c r="P44" i="9"/>
  <c r="Q7" i="9"/>
  <c r="L35" i="8"/>
  <c r="L35" i="23" s="1"/>
  <c r="L87" i="23" s="1"/>
  <c r="L35" i="9"/>
  <c r="R20" i="13"/>
  <c r="S20" i="13" s="1"/>
  <c r="R25" i="12"/>
  <c r="S25" i="12" s="1"/>
  <c r="AA53" i="8"/>
  <c r="M18" i="7"/>
  <c r="M24" i="7"/>
  <c r="AD23" i="7"/>
  <c r="AC23" i="9"/>
  <c r="AD23" i="9" s="1"/>
  <c r="AD50" i="7"/>
  <c r="AC50" i="9"/>
  <c r="AD50" i="9" s="1"/>
  <c r="AD22" i="7"/>
  <c r="AC22" i="9"/>
  <c r="AD22" i="9" s="1"/>
  <c r="AD49" i="7"/>
  <c r="AC49" i="9"/>
  <c r="AD49" i="9" s="1"/>
  <c r="AD42" i="7"/>
  <c r="AC42" i="8"/>
  <c r="AD42" i="8" s="1"/>
  <c r="AC42" i="9"/>
  <c r="AD42" i="9" s="1"/>
  <c r="AD6" i="7"/>
  <c r="AC6" i="9"/>
  <c r="AD6" i="9" s="1"/>
  <c r="AD14" i="7"/>
  <c r="AC14" i="9"/>
  <c r="AD14" i="9" s="1"/>
  <c r="AD41" i="7"/>
  <c r="AC41" i="9"/>
  <c r="AD41" i="9" s="1"/>
  <c r="AD17" i="7"/>
  <c r="AC17" i="9"/>
  <c r="AD17" i="9" s="1"/>
  <c r="AD16" i="7"/>
  <c r="AC16" i="9"/>
  <c r="AD16" i="9" s="1"/>
  <c r="M43" i="7"/>
  <c r="W21" i="8"/>
  <c r="V21" i="23" s="1"/>
  <c r="V73" i="23" s="1"/>
  <c r="W21" i="9"/>
  <c r="W25" i="8"/>
  <c r="V25" i="23" s="1"/>
  <c r="V77" i="23" s="1"/>
  <c r="W25" i="9"/>
  <c r="W10" i="8"/>
  <c r="V10" i="23" s="1"/>
  <c r="V62" i="23" s="1"/>
  <c r="W10" i="9"/>
  <c r="W28" i="8"/>
  <c r="V28" i="23" s="1"/>
  <c r="V80" i="23" s="1"/>
  <c r="W28" i="9"/>
  <c r="W49" i="8"/>
  <c r="W49" i="9"/>
  <c r="W16" i="8"/>
  <c r="W16" i="9"/>
  <c r="W40" i="8"/>
  <c r="V40" i="23" s="1"/>
  <c r="V92" i="23" s="1"/>
  <c r="W40" i="9"/>
  <c r="W11" i="8"/>
  <c r="V11" i="23" s="1"/>
  <c r="V63" i="23" s="1"/>
  <c r="W11" i="9"/>
  <c r="W27" i="8"/>
  <c r="V27" i="23" s="1"/>
  <c r="V79" i="23" s="1"/>
  <c r="W27" i="9"/>
  <c r="W35" i="8"/>
  <c r="V35" i="23" s="1"/>
  <c r="V87" i="23" s="1"/>
  <c r="W35" i="9"/>
  <c r="W26" i="8"/>
  <c r="V26" i="23" s="1"/>
  <c r="V78" i="23" s="1"/>
  <c r="W26" i="9"/>
  <c r="W43" i="8"/>
  <c r="V43" i="23" s="1"/>
  <c r="V95" i="23" s="1"/>
  <c r="W43" i="9"/>
  <c r="X22" i="8"/>
  <c r="W22" i="23" s="1"/>
  <c r="W74" i="23" s="1"/>
  <c r="X22" i="9"/>
  <c r="X18" i="8"/>
  <c r="W18" i="23" s="1"/>
  <c r="W70" i="23" s="1"/>
  <c r="X18" i="9"/>
  <c r="X19" i="8"/>
  <c r="W19" i="23" s="1"/>
  <c r="W71" i="23" s="1"/>
  <c r="X19" i="9"/>
  <c r="X43" i="8"/>
  <c r="W43" i="23" s="1"/>
  <c r="W95" i="23" s="1"/>
  <c r="X43" i="9"/>
  <c r="X17" i="8"/>
  <c r="W17" i="23" s="1"/>
  <c r="W69" i="23" s="1"/>
  <c r="X17" i="9"/>
  <c r="X30" i="8"/>
  <c r="X30" i="9"/>
  <c r="X45" i="8"/>
  <c r="W45" i="23" s="1"/>
  <c r="W97" i="23" s="1"/>
  <c r="X45" i="9"/>
  <c r="X12" i="8"/>
  <c r="W12" i="23" s="1"/>
  <c r="W64" i="23" s="1"/>
  <c r="X12" i="9"/>
  <c r="X38" i="8"/>
  <c r="W38" i="23" s="1"/>
  <c r="W90" i="23" s="1"/>
  <c r="X38" i="9"/>
  <c r="X27" i="8"/>
  <c r="W27" i="23" s="1"/>
  <c r="W79" i="23" s="1"/>
  <c r="X27" i="9"/>
  <c r="X35" i="8"/>
  <c r="W35" i="23" s="1"/>
  <c r="W87" i="23" s="1"/>
  <c r="X35" i="9"/>
  <c r="X51" i="8"/>
  <c r="W51" i="23" s="1"/>
  <c r="W103" i="23" s="1"/>
  <c r="X51" i="9"/>
  <c r="AH31" i="8"/>
  <c r="AD31" i="23" s="1"/>
  <c r="AD83" i="23" s="1"/>
  <c r="AH31" i="9"/>
  <c r="AH34" i="8"/>
  <c r="AD34" i="23" s="1"/>
  <c r="AD86" i="23" s="1"/>
  <c r="AH34" i="9"/>
  <c r="AH28" i="8"/>
  <c r="AD28" i="23" s="1"/>
  <c r="AD80" i="23" s="1"/>
  <c r="AH28" i="9"/>
  <c r="AH50" i="8"/>
  <c r="AH50" i="9"/>
  <c r="AD50" i="23" s="1"/>
  <c r="AD102" i="23" s="1"/>
  <c r="AH29" i="8"/>
  <c r="AD29" i="23" s="1"/>
  <c r="AD81" i="23" s="1"/>
  <c r="AH29" i="9"/>
  <c r="AH13" i="8"/>
  <c r="AD13" i="23" s="1"/>
  <c r="AD65" i="23" s="1"/>
  <c r="AH13" i="9"/>
  <c r="AH38" i="8"/>
  <c r="AD38" i="23" s="1"/>
  <c r="AD90" i="23" s="1"/>
  <c r="AH38" i="9"/>
  <c r="AH18" i="8"/>
  <c r="AD18" i="23" s="1"/>
  <c r="AD70" i="23" s="1"/>
  <c r="AH18" i="9"/>
  <c r="AH8" i="8"/>
  <c r="AH8" i="9"/>
  <c r="AH7" i="8"/>
  <c r="AD7" i="23" s="1"/>
  <c r="AD59" i="23" s="1"/>
  <c r="AH7" i="9"/>
  <c r="AI40" i="8"/>
  <c r="AE40" i="23" s="1"/>
  <c r="AE92" i="23" s="1"/>
  <c r="AI40" i="9"/>
  <c r="AI42" i="8"/>
  <c r="AE42" i="23" s="1"/>
  <c r="AE94" i="23" s="1"/>
  <c r="AI42" i="9"/>
  <c r="AI39" i="8"/>
  <c r="AE39" i="23" s="1"/>
  <c r="AE91" i="23" s="1"/>
  <c r="AI39" i="9"/>
  <c r="AI48" i="8"/>
  <c r="AE48" i="23" s="1"/>
  <c r="AE100" i="23" s="1"/>
  <c r="AI48" i="9"/>
  <c r="AI35" i="8"/>
  <c r="AE35" i="23" s="1"/>
  <c r="AE87" i="23" s="1"/>
  <c r="AI35" i="9"/>
  <c r="AI19" i="8"/>
  <c r="AE19" i="23" s="1"/>
  <c r="AE71" i="23" s="1"/>
  <c r="AI19" i="9"/>
  <c r="AI18" i="8"/>
  <c r="AE18" i="23" s="1"/>
  <c r="AE70" i="23" s="1"/>
  <c r="AI18" i="9"/>
  <c r="AI23" i="8"/>
  <c r="AE23" i="23" s="1"/>
  <c r="AE75" i="23" s="1"/>
  <c r="AI23" i="9"/>
  <c r="AI49" i="8"/>
  <c r="AE49" i="23" s="1"/>
  <c r="AE101" i="23" s="1"/>
  <c r="AI49" i="9"/>
  <c r="AI17" i="8"/>
  <c r="AI17" i="9"/>
  <c r="AE17" i="23" s="1"/>
  <c r="AE69" i="23" s="1"/>
  <c r="AI16" i="8"/>
  <c r="AE16" i="23" s="1"/>
  <c r="AE68" i="23" s="1"/>
  <c r="AI16" i="9"/>
  <c r="M46" i="7"/>
  <c r="U7" i="9"/>
  <c r="U29" i="8"/>
  <c r="T29" i="23" s="1"/>
  <c r="T81" i="23" s="1"/>
  <c r="U29" i="9"/>
  <c r="U11" i="9"/>
  <c r="U46" i="8"/>
  <c r="T46" i="23" s="1"/>
  <c r="T98" i="23" s="1"/>
  <c r="U46" i="9"/>
  <c r="U10" i="9"/>
  <c r="U26" i="8"/>
  <c r="T26" i="23" s="1"/>
  <c r="T78" i="23" s="1"/>
  <c r="U26" i="9"/>
  <c r="U43" i="9"/>
  <c r="U17" i="8"/>
  <c r="T17" i="23" s="1"/>
  <c r="T69" i="23" s="1"/>
  <c r="U17" i="9"/>
  <c r="U30" i="9"/>
  <c r="U45" i="8"/>
  <c r="T45" i="23" s="1"/>
  <c r="T97" i="23" s="1"/>
  <c r="U45" i="9"/>
  <c r="U38" i="9"/>
  <c r="M20" i="7"/>
  <c r="Q47" i="9"/>
  <c r="Q33" i="9"/>
  <c r="Q50" i="9"/>
  <c r="Q34" i="9"/>
  <c r="Q8" i="9"/>
  <c r="Q5" i="9"/>
  <c r="Q53" i="7"/>
  <c r="Q58" i="7" s="1"/>
  <c r="Q46" i="8" s="1"/>
  <c r="Q46" i="23" s="1"/>
  <c r="Q98" i="23" s="1"/>
  <c r="Q21" i="9"/>
  <c r="Q23" i="9"/>
  <c r="Q10" i="9"/>
  <c r="Q28" i="9"/>
  <c r="Q32" i="9"/>
  <c r="L51" i="9"/>
  <c r="O17" i="12"/>
  <c r="O17" i="24" s="1"/>
  <c r="O59" i="24" s="1"/>
  <c r="O17" i="13"/>
  <c r="M26" i="7"/>
  <c r="M11" i="7"/>
  <c r="O48" i="8"/>
  <c r="O48" i="9"/>
  <c r="O48" i="23" s="1"/>
  <c r="O100" i="23" s="1"/>
  <c r="O29" i="8"/>
  <c r="O29" i="23" s="1"/>
  <c r="O81" i="23" s="1"/>
  <c r="O29" i="9"/>
  <c r="O44" i="8"/>
  <c r="O44" i="23" s="1"/>
  <c r="O96" i="23" s="1"/>
  <c r="O44" i="9"/>
  <c r="O24" i="8"/>
  <c r="O24" i="23" s="1"/>
  <c r="O76" i="23" s="1"/>
  <c r="O24" i="9"/>
  <c r="O21" i="8"/>
  <c r="O21" i="23" s="1"/>
  <c r="O73" i="23" s="1"/>
  <c r="O21" i="9"/>
  <c r="O10" i="8"/>
  <c r="O10" i="23" s="1"/>
  <c r="O62" i="23" s="1"/>
  <c r="O10" i="9"/>
  <c r="O11" i="8"/>
  <c r="O11" i="23" s="1"/>
  <c r="O63" i="23" s="1"/>
  <c r="O11" i="9"/>
  <c r="O41" i="8"/>
  <c r="O41" i="23" s="1"/>
  <c r="O93" i="23" s="1"/>
  <c r="O41" i="9"/>
  <c r="O17" i="8"/>
  <c r="O17" i="23" s="1"/>
  <c r="O69" i="23" s="1"/>
  <c r="O17" i="9"/>
  <c r="O16" i="8"/>
  <c r="O16" i="23" s="1"/>
  <c r="O68" i="23" s="1"/>
  <c r="O16" i="9"/>
  <c r="M45" i="7"/>
  <c r="L50" i="8"/>
  <c r="L50" i="9"/>
  <c r="L42" i="9"/>
  <c r="L11" i="8"/>
  <c r="L11" i="23" s="1"/>
  <c r="L63" i="23" s="1"/>
  <c r="L11" i="9"/>
  <c r="L41" i="9"/>
  <c r="L13" i="8"/>
  <c r="L13" i="23" s="1"/>
  <c r="L65" i="23" s="1"/>
  <c r="L13" i="9"/>
  <c r="L12" i="9"/>
  <c r="L40" i="8"/>
  <c r="L40" i="23" s="1"/>
  <c r="L92" i="23" s="1"/>
  <c r="L40" i="9"/>
  <c r="L27" i="9"/>
  <c r="L14" i="8"/>
  <c r="L14" i="23" s="1"/>
  <c r="L66" i="23" s="1"/>
  <c r="L14" i="9"/>
  <c r="M21" i="7"/>
  <c r="P36" i="9"/>
  <c r="P39" i="8"/>
  <c r="P39" i="23" s="1"/>
  <c r="P91" i="23" s="1"/>
  <c r="P39" i="9"/>
  <c r="P41" i="9"/>
  <c r="P37" i="9"/>
  <c r="P11" i="9"/>
  <c r="P20" i="9"/>
  <c r="P7" i="9"/>
  <c r="P35" i="8"/>
  <c r="P35" i="23" s="1"/>
  <c r="P87" i="23" s="1"/>
  <c r="P35" i="9"/>
  <c r="P14" i="9"/>
  <c r="P5" i="9"/>
  <c r="P53" i="7"/>
  <c r="P58" i="7" s="1"/>
  <c r="P47" i="8" s="1"/>
  <c r="P47" i="23" s="1"/>
  <c r="P99" i="23" s="1"/>
  <c r="P21" i="9"/>
  <c r="AD30" i="7"/>
  <c r="AC30" i="9"/>
  <c r="AD30" i="9" s="1"/>
  <c r="AD34" i="7"/>
  <c r="AC34" i="8"/>
  <c r="AD34" i="8" s="1"/>
  <c r="AC34" i="9"/>
  <c r="AD34" i="9" s="1"/>
  <c r="O13" i="13"/>
  <c r="R35" i="12"/>
  <c r="S35" i="12" s="1"/>
  <c r="O19" i="13"/>
  <c r="O24" i="12"/>
  <c r="O24" i="13"/>
  <c r="O38" i="13"/>
  <c r="O32" i="12"/>
  <c r="O32" i="13"/>
  <c r="O18" i="12"/>
  <c r="O18" i="13"/>
  <c r="M36" i="7"/>
  <c r="R42" i="9"/>
  <c r="R38" i="9"/>
  <c r="R30" i="9"/>
  <c r="R10" i="9"/>
  <c r="R28" i="9"/>
  <c r="R6" i="9"/>
  <c r="R22" i="9"/>
  <c r="R12" i="9"/>
  <c r="R7" i="9"/>
  <c r="R23" i="9"/>
  <c r="M19" i="7"/>
  <c r="M31" i="7"/>
  <c r="Z23" i="12"/>
  <c r="AA23" i="12" s="1"/>
  <c r="M38" i="7"/>
  <c r="F30" i="5"/>
  <c r="N56" i="6"/>
  <c r="F4" i="5"/>
  <c r="D10" i="5"/>
  <c r="T56" i="6" s="1"/>
  <c r="E4" i="5"/>
  <c r="E30" i="5"/>
  <c r="P14" i="25" l="1"/>
  <c r="O14" i="25"/>
  <c r="G11" i="26"/>
  <c r="I9" i="26"/>
  <c r="I15" i="26" s="1"/>
  <c r="I11" i="26"/>
  <c r="I7" i="26"/>
  <c r="I13" i="26" s="1"/>
  <c r="V30" i="24"/>
  <c r="V72" i="24" s="1"/>
  <c r="L51" i="8"/>
  <c r="L51" i="23" s="1"/>
  <c r="L103" i="23" s="1"/>
  <c r="Z35" i="13"/>
  <c r="AA35" i="13" s="1"/>
  <c r="W30" i="11"/>
  <c r="T30" i="24"/>
  <c r="T72" i="24" s="1"/>
  <c r="R20" i="24"/>
  <c r="R62" i="24" s="1"/>
  <c r="O14" i="24"/>
  <c r="O56" i="24" s="1"/>
  <c r="V38" i="24"/>
  <c r="V80" i="24" s="1"/>
  <c r="O36" i="24"/>
  <c r="O78" i="24" s="1"/>
  <c r="V29" i="24"/>
  <c r="V71" i="24" s="1"/>
  <c r="O24" i="24"/>
  <c r="O66" i="24" s="1"/>
  <c r="AA10" i="23"/>
  <c r="AA62" i="23" s="1"/>
  <c r="V11" i="24"/>
  <c r="V53" i="24" s="1"/>
  <c r="V34" i="24"/>
  <c r="V76" i="24" s="1"/>
  <c r="Q22" i="24"/>
  <c r="Q64" i="24" s="1"/>
  <c r="Q11" i="24"/>
  <c r="Q53" i="24" s="1"/>
  <c r="Q36" i="24"/>
  <c r="Q78" i="24" s="1"/>
  <c r="Q38" i="24"/>
  <c r="Q80" i="24" s="1"/>
  <c r="O19" i="12"/>
  <c r="O19" i="24" s="1"/>
  <c r="O61" i="24" s="1"/>
  <c r="P18" i="24"/>
  <c r="P60" i="24" s="1"/>
  <c r="T14" i="24"/>
  <c r="T56" i="24" s="1"/>
  <c r="M39" i="23"/>
  <c r="M91" i="23" s="1"/>
  <c r="U47" i="8"/>
  <c r="T47" i="23" s="1"/>
  <c r="T99" i="23" s="1"/>
  <c r="X47" i="8"/>
  <c r="W47" i="23" s="1"/>
  <c r="W99" i="23" s="1"/>
  <c r="W38" i="11"/>
  <c r="O37" i="12"/>
  <c r="Z27" i="12"/>
  <c r="AA27" i="12" s="1"/>
  <c r="V27" i="24"/>
  <c r="V69" i="24" s="1"/>
  <c r="O26" i="13"/>
  <c r="Z25" i="12"/>
  <c r="AA25" i="12" s="1"/>
  <c r="Q19" i="24"/>
  <c r="Q61" i="24" s="1"/>
  <c r="Q27" i="24"/>
  <c r="Q69" i="24" s="1"/>
  <c r="V26" i="24"/>
  <c r="V68" i="24" s="1"/>
  <c r="Q35" i="24"/>
  <c r="Q77" i="24" s="1"/>
  <c r="Q18" i="24"/>
  <c r="Q60" i="24" s="1"/>
  <c r="Q34" i="24"/>
  <c r="Q76" i="24" s="1"/>
  <c r="Q10" i="24"/>
  <c r="Q52" i="24" s="1"/>
  <c r="V14" i="24"/>
  <c r="V56" i="24" s="1"/>
  <c r="Q8" i="24"/>
  <c r="Q50" i="24" s="1"/>
  <c r="V41" i="24"/>
  <c r="V83" i="24" s="1"/>
  <c r="Q31" i="24"/>
  <c r="Q73" i="24" s="1"/>
  <c r="P21" i="8"/>
  <c r="L12" i="8"/>
  <c r="L12" i="23" s="1"/>
  <c r="L64" i="23" s="1"/>
  <c r="L42" i="8"/>
  <c r="L42" i="23" s="1"/>
  <c r="L94" i="23" s="1"/>
  <c r="P28" i="24"/>
  <c r="P70" i="24" s="1"/>
  <c r="M47" i="23"/>
  <c r="M99" i="23" s="1"/>
  <c r="N38" i="24"/>
  <c r="N80" i="24" s="1"/>
  <c r="AI25" i="8"/>
  <c r="AE25" i="23" s="1"/>
  <c r="AE77" i="23" s="1"/>
  <c r="AA41" i="11"/>
  <c r="R28" i="24"/>
  <c r="R70" i="24" s="1"/>
  <c r="O10" i="13"/>
  <c r="O10" i="24"/>
  <c r="O52" i="24" s="1"/>
  <c r="O13" i="12"/>
  <c r="O13" i="24"/>
  <c r="O55" i="24" s="1"/>
  <c r="O12" i="24"/>
  <c r="O54" i="24" s="1"/>
  <c r="Z40" i="12"/>
  <c r="AA40" i="12" s="1"/>
  <c r="V40" i="24"/>
  <c r="V82" i="24" s="1"/>
  <c r="O43" i="11"/>
  <c r="O8" i="24"/>
  <c r="O50" i="24" s="1"/>
  <c r="V8" i="24"/>
  <c r="V50" i="24" s="1"/>
  <c r="Q12" i="24"/>
  <c r="Q54" i="24" s="1"/>
  <c r="AA34" i="23"/>
  <c r="AA86" i="23" s="1"/>
  <c r="Q32" i="24"/>
  <c r="Q74" i="24" s="1"/>
  <c r="Q21" i="24"/>
  <c r="Q63" i="24" s="1"/>
  <c r="V31" i="24"/>
  <c r="V73" i="24" s="1"/>
  <c r="T6" i="24"/>
  <c r="T48" i="24" s="1"/>
  <c r="L8" i="8"/>
  <c r="L8" i="23" s="1"/>
  <c r="L60" i="23" s="1"/>
  <c r="AH39" i="8"/>
  <c r="AD39" i="23" s="1"/>
  <c r="AD91" i="23" s="1"/>
  <c r="N5" i="24"/>
  <c r="N47" i="24" s="1"/>
  <c r="O5" i="8"/>
  <c r="O5" i="23" s="1"/>
  <c r="O57" i="23" s="1"/>
  <c r="O23" i="8"/>
  <c r="O23" i="23" s="1"/>
  <c r="O75" i="23" s="1"/>
  <c r="X32" i="8"/>
  <c r="W32" i="23" s="1"/>
  <c r="W84" i="23" s="1"/>
  <c r="O6" i="24"/>
  <c r="O48" i="24" s="1"/>
  <c r="V21" i="24"/>
  <c r="V63" i="24" s="1"/>
  <c r="O18" i="24"/>
  <c r="O60" i="24" s="1"/>
  <c r="AA37" i="23"/>
  <c r="AA89" i="23" s="1"/>
  <c r="Q25" i="24"/>
  <c r="Q67" i="24" s="1"/>
  <c r="AA31" i="23"/>
  <c r="AA83" i="23" s="1"/>
  <c r="Q37" i="24"/>
  <c r="Q79" i="24" s="1"/>
  <c r="V19" i="24"/>
  <c r="V61" i="24" s="1"/>
  <c r="AA45" i="23"/>
  <c r="AA97" i="23" s="1"/>
  <c r="V24" i="24"/>
  <c r="V66" i="24" s="1"/>
  <c r="N6" i="24"/>
  <c r="N48" i="24" s="1"/>
  <c r="O35" i="13"/>
  <c r="R5" i="24"/>
  <c r="R47" i="24" s="1"/>
  <c r="O23" i="24"/>
  <c r="O65" i="24" s="1"/>
  <c r="V12" i="24"/>
  <c r="V54" i="24" s="1"/>
  <c r="O5" i="24"/>
  <c r="O47" i="24" s="1"/>
  <c r="V15" i="24"/>
  <c r="V57" i="24" s="1"/>
  <c r="O32" i="24"/>
  <c r="O74" i="24" s="1"/>
  <c r="V13" i="24"/>
  <c r="V55" i="24" s="1"/>
  <c r="Q6" i="24"/>
  <c r="Q48" i="24" s="1"/>
  <c r="G7" i="26" s="1"/>
  <c r="G13" i="26" s="1"/>
  <c r="AA38" i="23"/>
  <c r="AA90" i="23" s="1"/>
  <c r="Q29" i="24"/>
  <c r="Q71" i="24" s="1"/>
  <c r="Q13" i="24"/>
  <c r="Q55" i="24" s="1"/>
  <c r="Q40" i="24"/>
  <c r="Q82" i="24" s="1"/>
  <c r="V39" i="24"/>
  <c r="V81" i="24" s="1"/>
  <c r="Q9" i="24"/>
  <c r="Q51" i="24" s="1"/>
  <c r="O33" i="24"/>
  <c r="O75" i="24" s="1"/>
  <c r="V35" i="24"/>
  <c r="V77" i="24" s="1"/>
  <c r="P5" i="8"/>
  <c r="P5" i="23" s="1"/>
  <c r="P57" i="23" s="1"/>
  <c r="P37" i="8"/>
  <c r="P37" i="23" s="1"/>
  <c r="P89" i="23" s="1"/>
  <c r="W26" i="11"/>
  <c r="M14" i="23"/>
  <c r="M66" i="23" s="1"/>
  <c r="S26" i="12"/>
  <c r="Q26" i="24"/>
  <c r="Q68" i="24" s="1"/>
  <c r="M13" i="24"/>
  <c r="M55" i="24" s="1"/>
  <c r="O35" i="12"/>
  <c r="O35" i="24" s="1"/>
  <c r="O77" i="24" s="1"/>
  <c r="X21" i="8"/>
  <c r="W21" i="23" s="1"/>
  <c r="W73" i="23" s="1"/>
  <c r="L31" i="24"/>
  <c r="L73" i="24" s="1"/>
  <c r="O21" i="12"/>
  <c r="AA7" i="11"/>
  <c r="O16" i="13"/>
  <c r="O16" i="24"/>
  <c r="O58" i="24" s="1"/>
  <c r="Z10" i="12"/>
  <c r="AA10" i="12" s="1"/>
  <c r="V10" i="24"/>
  <c r="V52" i="24" s="1"/>
  <c r="O38" i="12"/>
  <c r="O38" i="24" s="1"/>
  <c r="O80" i="24" s="1"/>
  <c r="Q20" i="24"/>
  <c r="Q62" i="24" s="1"/>
  <c r="V20" i="24"/>
  <c r="V62" i="24" s="1"/>
  <c r="AA43" i="23"/>
  <c r="AA95" i="23" s="1"/>
  <c r="Q28" i="24"/>
  <c r="Q70" i="24" s="1"/>
  <c r="Q14" i="24"/>
  <c r="Q56" i="24" s="1"/>
  <c r="AA42" i="23"/>
  <c r="AA94" i="23" s="1"/>
  <c r="Q39" i="24"/>
  <c r="Q81" i="24" s="1"/>
  <c r="N10" i="24"/>
  <c r="N52" i="24" s="1"/>
  <c r="L27" i="8"/>
  <c r="L27" i="23" s="1"/>
  <c r="L79" i="23" s="1"/>
  <c r="L41" i="8"/>
  <c r="L41" i="23" s="1"/>
  <c r="L93" i="23" s="1"/>
  <c r="T11" i="24"/>
  <c r="T53" i="24" s="1"/>
  <c r="L5" i="8"/>
  <c r="L5" i="23" s="1"/>
  <c r="L57" i="23" s="1"/>
  <c r="Z30" i="12"/>
  <c r="AA30" i="12" s="1"/>
  <c r="O6" i="8"/>
  <c r="O6" i="23" s="1"/>
  <c r="O58" i="23" s="1"/>
  <c r="O33" i="8"/>
  <c r="O33" i="23" s="1"/>
  <c r="O85" i="23" s="1"/>
  <c r="L38" i="24"/>
  <c r="L80" i="24" s="1"/>
  <c r="O20" i="13"/>
  <c r="O20" i="24"/>
  <c r="O62" i="24" s="1"/>
  <c r="AA22" i="11"/>
  <c r="O41" i="13"/>
  <c r="O41" i="24"/>
  <c r="O83" i="24" s="1"/>
  <c r="Z6" i="13"/>
  <c r="AA6" i="13" s="1"/>
  <c r="V6" i="24"/>
  <c r="V48" i="24" s="1"/>
  <c r="L9" i="26" s="1"/>
  <c r="O25" i="12"/>
  <c r="O25" i="24" s="1"/>
  <c r="O67" i="24" s="1"/>
  <c r="Q17" i="24"/>
  <c r="Q59" i="24" s="1"/>
  <c r="Q7" i="24"/>
  <c r="Q49" i="24" s="1"/>
  <c r="Q15" i="24"/>
  <c r="Q57" i="24" s="1"/>
  <c r="Q16" i="24"/>
  <c r="Q58" i="24" s="1"/>
  <c r="V16" i="24"/>
  <c r="V58" i="24" s="1"/>
  <c r="AA13" i="23"/>
  <c r="AA65" i="23" s="1"/>
  <c r="Q41" i="24"/>
  <c r="Q83" i="24" s="1"/>
  <c r="V36" i="24"/>
  <c r="V78" i="24" s="1"/>
  <c r="Q30" i="24"/>
  <c r="Q72" i="24" s="1"/>
  <c r="I14" i="26"/>
  <c r="P13" i="25"/>
  <c r="O13" i="25"/>
  <c r="AA17" i="11"/>
  <c r="Z17" i="13"/>
  <c r="AA17" i="13" s="1"/>
  <c r="Z43" i="11"/>
  <c r="AC46" i="8"/>
  <c r="AC12" i="8"/>
  <c r="AC29" i="8"/>
  <c r="O21" i="13"/>
  <c r="O21" i="24" s="1"/>
  <c r="O63" i="24" s="1"/>
  <c r="O37" i="13"/>
  <c r="O37" i="24" s="1"/>
  <c r="O79" i="24" s="1"/>
  <c r="AC18" i="8"/>
  <c r="AC35" i="8"/>
  <c r="AC44" i="8"/>
  <c r="AA10" i="11"/>
  <c r="O27" i="13"/>
  <c r="O27" i="12"/>
  <c r="O27" i="24" s="1"/>
  <c r="O69" i="24" s="1"/>
  <c r="Z32" i="13"/>
  <c r="AA32" i="13" s="1"/>
  <c r="AA32" i="11"/>
  <c r="O8" i="13"/>
  <c r="O25" i="13"/>
  <c r="U43" i="13"/>
  <c r="Z25" i="13"/>
  <c r="AA25" i="13" s="1"/>
  <c r="AA40" i="11"/>
  <c r="L30" i="8"/>
  <c r="L30" i="23" s="1"/>
  <c r="L82" i="23" s="1"/>
  <c r="U51" i="8"/>
  <c r="T51" i="23" s="1"/>
  <c r="T103" i="23" s="1"/>
  <c r="U28" i="8"/>
  <c r="T28" i="23" s="1"/>
  <c r="T80" i="23" s="1"/>
  <c r="U41" i="8"/>
  <c r="T41" i="23" s="1"/>
  <c r="T93" i="23" s="1"/>
  <c r="U6" i="8"/>
  <c r="T6" i="23" s="1"/>
  <c r="T58" i="23" s="1"/>
  <c r="U16" i="8"/>
  <c r="T16" i="23" s="1"/>
  <c r="T68" i="23" s="1"/>
  <c r="U35" i="8"/>
  <c r="T35" i="23" s="1"/>
  <c r="T87" i="23" s="1"/>
  <c r="AC11" i="8"/>
  <c r="AC40" i="8"/>
  <c r="Z32" i="12"/>
  <c r="AA32" i="12" s="1"/>
  <c r="U42" i="8"/>
  <c r="T42" i="23" s="1"/>
  <c r="T94" i="23" s="1"/>
  <c r="U34" i="8"/>
  <c r="T34" i="23" s="1"/>
  <c r="T86" i="23" s="1"/>
  <c r="U9" i="8"/>
  <c r="T9" i="23" s="1"/>
  <c r="T61" i="23" s="1"/>
  <c r="U18" i="8"/>
  <c r="T18" i="23" s="1"/>
  <c r="T70" i="23" s="1"/>
  <c r="U27" i="8"/>
  <c r="T27" i="23" s="1"/>
  <c r="T79" i="23" s="1"/>
  <c r="U23" i="8"/>
  <c r="T23" i="23" s="1"/>
  <c r="T75" i="23" s="1"/>
  <c r="AH42" i="8"/>
  <c r="AD42" i="23" s="1"/>
  <c r="AD94" i="23" s="1"/>
  <c r="AC9" i="8"/>
  <c r="AC21" i="8"/>
  <c r="Z7" i="13"/>
  <c r="AA7" i="13" s="1"/>
  <c r="Z22" i="12"/>
  <c r="AA22" i="12" s="1"/>
  <c r="O16" i="12"/>
  <c r="O26" i="12"/>
  <c r="O34" i="8"/>
  <c r="O34" i="23" s="1"/>
  <c r="O86" i="23" s="1"/>
  <c r="U40" i="8"/>
  <c r="T40" i="23" s="1"/>
  <c r="T92" i="23" s="1"/>
  <c r="U32" i="8"/>
  <c r="T32" i="23" s="1"/>
  <c r="T84" i="23" s="1"/>
  <c r="U14" i="8"/>
  <c r="T14" i="23" s="1"/>
  <c r="T66" i="23" s="1"/>
  <c r="X40" i="8"/>
  <c r="W40" i="23" s="1"/>
  <c r="W92" i="23" s="1"/>
  <c r="Z27" i="13"/>
  <c r="AA27" i="13" s="1"/>
  <c r="O30" i="13"/>
  <c r="O30" i="12"/>
  <c r="O30" i="24" s="1"/>
  <c r="O72" i="24" s="1"/>
  <c r="AA23" i="11"/>
  <c r="AA43" i="11" s="1"/>
  <c r="Z23" i="13"/>
  <c r="AA23" i="13" s="1"/>
  <c r="AC20" i="8"/>
  <c r="AA37" i="11"/>
  <c r="Z37" i="13"/>
  <c r="AA37" i="13" s="1"/>
  <c r="AC17" i="8"/>
  <c r="AC50" i="8"/>
  <c r="AC23" i="8"/>
  <c r="AC36" i="8"/>
  <c r="AC32" i="8"/>
  <c r="U12" i="8"/>
  <c r="T12" i="23" s="1"/>
  <c r="T64" i="23" s="1"/>
  <c r="AC16" i="8"/>
  <c r="AC6" i="8"/>
  <c r="R53" i="9"/>
  <c r="O8" i="12"/>
  <c r="AC30" i="8"/>
  <c r="P20" i="8"/>
  <c r="P20" i="23" s="1"/>
  <c r="P72" i="23" s="1"/>
  <c r="U38" i="8"/>
  <c r="T38" i="23" s="1"/>
  <c r="T90" i="23" s="1"/>
  <c r="U30" i="8"/>
  <c r="T30" i="23" s="1"/>
  <c r="T82" i="23" s="1"/>
  <c r="U43" i="8"/>
  <c r="T43" i="23" s="1"/>
  <c r="T95" i="23" s="1"/>
  <c r="U10" i="8"/>
  <c r="T10" i="23" s="1"/>
  <c r="T62" i="23" s="1"/>
  <c r="U11" i="8"/>
  <c r="T11" i="23" s="1"/>
  <c r="T63" i="23" s="1"/>
  <c r="U7" i="8"/>
  <c r="T7" i="23" s="1"/>
  <c r="T59" i="23" s="1"/>
  <c r="AC41" i="8"/>
  <c r="AC14" i="8"/>
  <c r="AC49" i="8"/>
  <c r="AC22" i="8"/>
  <c r="L28" i="8"/>
  <c r="L28" i="23" s="1"/>
  <c r="L80" i="23" s="1"/>
  <c r="L39" i="8"/>
  <c r="L39" i="23" s="1"/>
  <c r="L91" i="23" s="1"/>
  <c r="AC19" i="8"/>
  <c r="AC27" i="8"/>
  <c r="AC33" i="8"/>
  <c r="AH10" i="8"/>
  <c r="AD10" i="23" s="1"/>
  <c r="AD62" i="23" s="1"/>
  <c r="AC8" i="8"/>
  <c r="AC26" i="8"/>
  <c r="AC28" i="8"/>
  <c r="U15" i="8"/>
  <c r="T15" i="23" s="1"/>
  <c r="T67" i="23" s="1"/>
  <c r="X7" i="8"/>
  <c r="W7" i="23" s="1"/>
  <c r="W59" i="23" s="1"/>
  <c r="M9" i="25" s="1"/>
  <c r="AC25" i="8"/>
  <c r="AC7" i="8"/>
  <c r="Z28" i="13"/>
  <c r="AA28" i="13" s="1"/>
  <c r="AA28" i="11"/>
  <c r="Z30" i="13"/>
  <c r="AA30" i="13" s="1"/>
  <c r="AA30" i="11"/>
  <c r="P37" i="12"/>
  <c r="P37" i="24" s="1"/>
  <c r="P79" i="24" s="1"/>
  <c r="P37" i="13"/>
  <c r="P28" i="12"/>
  <c r="P28" i="13"/>
  <c r="P20" i="12"/>
  <c r="P20" i="24" s="1"/>
  <c r="P62" i="24" s="1"/>
  <c r="P20" i="13"/>
  <c r="P24" i="12"/>
  <c r="P24" i="24" s="1"/>
  <c r="P66" i="24" s="1"/>
  <c r="P24" i="13"/>
  <c r="P39" i="12"/>
  <c r="P39" i="24" s="1"/>
  <c r="P81" i="24" s="1"/>
  <c r="P39" i="13"/>
  <c r="P22" i="12"/>
  <c r="P22" i="24" s="1"/>
  <c r="P64" i="24" s="1"/>
  <c r="P22" i="13"/>
  <c r="P32" i="12"/>
  <c r="P32" i="24" s="1"/>
  <c r="P74" i="24" s="1"/>
  <c r="P32" i="13"/>
  <c r="P19" i="12"/>
  <c r="P19" i="24" s="1"/>
  <c r="P61" i="24" s="1"/>
  <c r="P19" i="13"/>
  <c r="P8" i="12"/>
  <c r="P8" i="24" s="1"/>
  <c r="P50" i="24" s="1"/>
  <c r="P8" i="13"/>
  <c r="V21" i="9"/>
  <c r="V13" i="9"/>
  <c r="V12" i="9"/>
  <c r="V40" i="9"/>
  <c r="V11" i="9"/>
  <c r="V27" i="9"/>
  <c r="V35" i="9"/>
  <c r="V6" i="9"/>
  <c r="V22" i="9"/>
  <c r="V41" i="9"/>
  <c r="V32" i="9"/>
  <c r="V47" i="9"/>
  <c r="V37" i="12"/>
  <c r="T37" i="24" s="1"/>
  <c r="T79" i="24" s="1"/>
  <c r="V37" i="13"/>
  <c r="V36" i="12"/>
  <c r="T36" i="24" s="1"/>
  <c r="T78" i="24" s="1"/>
  <c r="V36" i="13"/>
  <c r="V33" i="12"/>
  <c r="T33" i="24" s="1"/>
  <c r="T75" i="24" s="1"/>
  <c r="V33" i="13"/>
  <c r="V34" i="12"/>
  <c r="T34" i="24" s="1"/>
  <c r="T76" i="24" s="1"/>
  <c r="V34" i="13"/>
  <c r="V28" i="12"/>
  <c r="T28" i="24" s="1"/>
  <c r="T70" i="24" s="1"/>
  <c r="V28" i="13"/>
  <c r="V24" i="12"/>
  <c r="T24" i="24" s="1"/>
  <c r="T66" i="24" s="1"/>
  <c r="V24" i="13"/>
  <c r="V40" i="12"/>
  <c r="T40" i="24" s="1"/>
  <c r="T82" i="24" s="1"/>
  <c r="V40" i="13"/>
  <c r="W11" i="11"/>
  <c r="V11" i="12"/>
  <c r="V11" i="13"/>
  <c r="W8" i="11"/>
  <c r="V8" i="12"/>
  <c r="T8" i="24" s="1"/>
  <c r="T50" i="24" s="1"/>
  <c r="V8" i="13"/>
  <c r="M9" i="9"/>
  <c r="M16" i="9"/>
  <c r="M28" i="9"/>
  <c r="M41" i="9"/>
  <c r="Q19" i="8"/>
  <c r="Q19" i="23" s="1"/>
  <c r="Q71" i="23" s="1"/>
  <c r="Q6" i="8"/>
  <c r="Q6" i="23" s="1"/>
  <c r="Q58" i="23" s="1"/>
  <c r="Q17" i="8"/>
  <c r="Q17" i="23" s="1"/>
  <c r="Q69" i="23" s="1"/>
  <c r="Q18" i="8"/>
  <c r="Q18" i="23" s="1"/>
  <c r="Q70" i="23" s="1"/>
  <c r="Q39" i="8"/>
  <c r="Q39" i="23" s="1"/>
  <c r="Q91" i="23" s="1"/>
  <c r="Q44" i="8"/>
  <c r="Q44" i="23" s="1"/>
  <c r="Q96" i="23" s="1"/>
  <c r="L38" i="8"/>
  <c r="L38" i="23" s="1"/>
  <c r="L90" i="23" s="1"/>
  <c r="W37" i="11"/>
  <c r="L26" i="8"/>
  <c r="L26" i="23" s="1"/>
  <c r="L78" i="23" s="1"/>
  <c r="L15" i="8"/>
  <c r="L15" i="23" s="1"/>
  <c r="L67" i="23" s="1"/>
  <c r="L9" i="8"/>
  <c r="L9" i="23" s="1"/>
  <c r="L61" i="23" s="1"/>
  <c r="L45" i="8"/>
  <c r="L45" i="23" s="1"/>
  <c r="L97" i="23" s="1"/>
  <c r="L43" i="8"/>
  <c r="L43" i="23" s="1"/>
  <c r="L95" i="23" s="1"/>
  <c r="O53" i="9"/>
  <c r="M42" i="9"/>
  <c r="Q22" i="8"/>
  <c r="Q22" i="23" s="1"/>
  <c r="Q74" i="23" s="1"/>
  <c r="Q42" i="8"/>
  <c r="Q42" i="23" s="1"/>
  <c r="Q94" i="23" s="1"/>
  <c r="Q24" i="8"/>
  <c r="Q24" i="23" s="1"/>
  <c r="Q76" i="23" s="1"/>
  <c r="Q45" i="8"/>
  <c r="Q45" i="23" s="1"/>
  <c r="Q97" i="23" s="1"/>
  <c r="Q20" i="8"/>
  <c r="Q20" i="23" s="1"/>
  <c r="Q72" i="23" s="1"/>
  <c r="AI53" i="9"/>
  <c r="Q32" i="11"/>
  <c r="M32" i="12"/>
  <c r="M32" i="24" s="1"/>
  <c r="M74" i="24" s="1"/>
  <c r="M32" i="13"/>
  <c r="Q19" i="11"/>
  <c r="M19" i="12"/>
  <c r="M19" i="24" s="1"/>
  <c r="M61" i="24" s="1"/>
  <c r="M19" i="13"/>
  <c r="Q34" i="11"/>
  <c r="M34" i="12"/>
  <c r="M34" i="24" s="1"/>
  <c r="M76" i="24" s="1"/>
  <c r="M34" i="13"/>
  <c r="Q11" i="11"/>
  <c r="AB11" i="11" s="1"/>
  <c r="M11" i="12"/>
  <c r="M11" i="24" s="1"/>
  <c r="M53" i="24" s="1"/>
  <c r="M11" i="13"/>
  <c r="Q21" i="11"/>
  <c r="M21" i="12"/>
  <c r="M21" i="24" s="1"/>
  <c r="M63" i="24" s="1"/>
  <c r="M21" i="13"/>
  <c r="Q23" i="11"/>
  <c r="M23" i="12"/>
  <c r="M23" i="13"/>
  <c r="M23" i="24" s="1"/>
  <c r="M65" i="24" s="1"/>
  <c r="Q12" i="11"/>
  <c r="M12" i="12"/>
  <c r="M12" i="24" s="1"/>
  <c r="M54" i="24" s="1"/>
  <c r="M12" i="13"/>
  <c r="Q26" i="11"/>
  <c r="AB26" i="11" s="1"/>
  <c r="M26" i="12"/>
  <c r="M26" i="24" s="1"/>
  <c r="M68" i="24" s="1"/>
  <c r="M26" i="13"/>
  <c r="Q7" i="11"/>
  <c r="M7" i="12"/>
  <c r="M7" i="24" s="1"/>
  <c r="M49" i="24" s="1"/>
  <c r="M7" i="13"/>
  <c r="N36" i="12"/>
  <c r="N36" i="24" s="1"/>
  <c r="N78" i="24" s="1"/>
  <c r="N36" i="13"/>
  <c r="N28" i="12"/>
  <c r="N28" i="24" s="1"/>
  <c r="N70" i="24" s="1"/>
  <c r="N28" i="13"/>
  <c r="N38" i="12"/>
  <c r="N38" i="13"/>
  <c r="N25" i="12"/>
  <c r="N25" i="24" s="1"/>
  <c r="N67" i="24" s="1"/>
  <c r="N25" i="13"/>
  <c r="N34" i="12"/>
  <c r="N34" i="24" s="1"/>
  <c r="N76" i="24" s="1"/>
  <c r="N34" i="13"/>
  <c r="N40" i="12"/>
  <c r="N40" i="24" s="1"/>
  <c r="N82" i="24" s="1"/>
  <c r="N40" i="13"/>
  <c r="N16" i="12"/>
  <c r="N16" i="24" s="1"/>
  <c r="N58" i="24" s="1"/>
  <c r="N16" i="13"/>
  <c r="N8" i="12"/>
  <c r="N8" i="24" s="1"/>
  <c r="N50" i="24" s="1"/>
  <c r="N8" i="13"/>
  <c r="N12" i="12"/>
  <c r="N12" i="24" s="1"/>
  <c r="N54" i="24" s="1"/>
  <c r="N12" i="13"/>
  <c r="M33" i="9"/>
  <c r="M44" i="9"/>
  <c r="X53" i="9"/>
  <c r="M51" i="9"/>
  <c r="AD5" i="9"/>
  <c r="AD53" i="9" s="1"/>
  <c r="AC53" i="9"/>
  <c r="Q41" i="8"/>
  <c r="Q41" i="23" s="1"/>
  <c r="Q93" i="23" s="1"/>
  <c r="O43" i="8"/>
  <c r="O43" i="23" s="1"/>
  <c r="O95" i="23" s="1"/>
  <c r="S43" i="11"/>
  <c r="T26" i="12"/>
  <c r="R26" i="24" s="1"/>
  <c r="R68" i="24" s="1"/>
  <c r="T26" i="13"/>
  <c r="T17" i="12"/>
  <c r="R17" i="24" s="1"/>
  <c r="R59" i="24" s="1"/>
  <c r="T17" i="13"/>
  <c r="T20" i="12"/>
  <c r="T20" i="13"/>
  <c r="T25" i="12"/>
  <c r="R25" i="24" s="1"/>
  <c r="R67" i="24" s="1"/>
  <c r="T25" i="13"/>
  <c r="W25" i="11"/>
  <c r="T18" i="12"/>
  <c r="R18" i="24" s="1"/>
  <c r="R60" i="24" s="1"/>
  <c r="T18" i="13"/>
  <c r="W18" i="11"/>
  <c r="T39" i="12"/>
  <c r="R39" i="24" s="1"/>
  <c r="R81" i="24" s="1"/>
  <c r="T39" i="13"/>
  <c r="W39" i="11"/>
  <c r="T32" i="12"/>
  <c r="R32" i="24" s="1"/>
  <c r="R74" i="24" s="1"/>
  <c r="T32" i="13"/>
  <c r="W32" i="11"/>
  <c r="T12" i="12"/>
  <c r="T12" i="13"/>
  <c r="R12" i="24" s="1"/>
  <c r="R54" i="24" s="1"/>
  <c r="T11" i="12"/>
  <c r="W11" i="12" s="1"/>
  <c r="T11" i="13"/>
  <c r="W11" i="13" s="1"/>
  <c r="AB44" i="13"/>
  <c r="AB44" i="12"/>
  <c r="X48" i="12" s="1"/>
  <c r="AB44" i="11"/>
  <c r="AB44" i="10"/>
  <c r="L12" i="12"/>
  <c r="L12" i="24" s="1"/>
  <c r="L54" i="24" s="1"/>
  <c r="L12" i="13"/>
  <c r="L41" i="12"/>
  <c r="L41" i="24" s="1"/>
  <c r="L83" i="24" s="1"/>
  <c r="L41" i="13"/>
  <c r="L39" i="12"/>
  <c r="L39" i="24" s="1"/>
  <c r="L81" i="24" s="1"/>
  <c r="L39" i="13"/>
  <c r="L36" i="12"/>
  <c r="L36" i="24" s="1"/>
  <c r="L78" i="24" s="1"/>
  <c r="L36" i="13"/>
  <c r="L22" i="12"/>
  <c r="L22" i="24" s="1"/>
  <c r="L64" i="24" s="1"/>
  <c r="L22" i="13"/>
  <c r="L37" i="12"/>
  <c r="L37" i="24" s="1"/>
  <c r="L79" i="24" s="1"/>
  <c r="L37" i="13"/>
  <c r="L25" i="12"/>
  <c r="L25" i="24" s="1"/>
  <c r="L67" i="24" s="1"/>
  <c r="L25" i="13"/>
  <c r="L6" i="12"/>
  <c r="L6" i="24" s="1"/>
  <c r="L48" i="24" s="1"/>
  <c r="L6" i="13"/>
  <c r="L10" i="12"/>
  <c r="L10" i="13"/>
  <c r="L10" i="24" s="1"/>
  <c r="L52" i="24" s="1"/>
  <c r="Q50" i="8"/>
  <c r="Q50" i="23" s="1"/>
  <c r="Q102" i="23" s="1"/>
  <c r="AA5" i="12"/>
  <c r="AA43" i="12" s="1"/>
  <c r="Z43" i="12"/>
  <c r="N54" i="9"/>
  <c r="N54" i="8"/>
  <c r="N58" i="8" s="1"/>
  <c r="N54" i="7"/>
  <c r="M26" i="9"/>
  <c r="Q28" i="8"/>
  <c r="Q28" i="23" s="1"/>
  <c r="Q80" i="23" s="1"/>
  <c r="Q23" i="8"/>
  <c r="Q23" i="23" s="1"/>
  <c r="Q75" i="23" s="1"/>
  <c r="Q53" i="9"/>
  <c r="M20" i="9"/>
  <c r="M46" i="9"/>
  <c r="M43" i="9"/>
  <c r="M18" i="9"/>
  <c r="P13" i="12"/>
  <c r="P13" i="24" s="1"/>
  <c r="P55" i="24" s="1"/>
  <c r="P13" i="13"/>
  <c r="P30" i="12"/>
  <c r="P30" i="24" s="1"/>
  <c r="P72" i="24" s="1"/>
  <c r="P30" i="13"/>
  <c r="P23" i="12"/>
  <c r="P23" i="24" s="1"/>
  <c r="P65" i="24" s="1"/>
  <c r="P23" i="13"/>
  <c r="P29" i="12"/>
  <c r="P29" i="24" s="1"/>
  <c r="P71" i="24" s="1"/>
  <c r="P29" i="13"/>
  <c r="P14" i="12"/>
  <c r="P14" i="24" s="1"/>
  <c r="P56" i="24" s="1"/>
  <c r="P14" i="13"/>
  <c r="P12" i="12"/>
  <c r="P12" i="24" s="1"/>
  <c r="P54" i="24" s="1"/>
  <c r="P12" i="13"/>
  <c r="P31" i="12"/>
  <c r="P31" i="24" s="1"/>
  <c r="P73" i="24" s="1"/>
  <c r="P31" i="13"/>
  <c r="P5" i="12"/>
  <c r="P5" i="24" s="1"/>
  <c r="P47" i="24" s="1"/>
  <c r="P43" i="11"/>
  <c r="P5" i="13"/>
  <c r="P9" i="12"/>
  <c r="P9" i="24" s="1"/>
  <c r="P51" i="24" s="1"/>
  <c r="P9" i="13"/>
  <c r="V17" i="9"/>
  <c r="V9" i="9"/>
  <c r="V16" i="9"/>
  <c r="V42" i="9"/>
  <c r="V15" i="9"/>
  <c r="V29" i="9"/>
  <c r="V46" i="9"/>
  <c r="V10" i="9"/>
  <c r="V26" i="9"/>
  <c r="V43" i="9"/>
  <c r="V34" i="9"/>
  <c r="V49" i="9"/>
  <c r="V18" i="12"/>
  <c r="T18" i="24" s="1"/>
  <c r="T60" i="24" s="1"/>
  <c r="V18" i="13"/>
  <c r="V39" i="12"/>
  <c r="T39" i="24" s="1"/>
  <c r="T81" i="24" s="1"/>
  <c r="V39" i="13"/>
  <c r="V32" i="12"/>
  <c r="T32" i="24" s="1"/>
  <c r="T74" i="24" s="1"/>
  <c r="V32" i="13"/>
  <c r="W13" i="11"/>
  <c r="V13" i="12"/>
  <c r="T13" i="24" s="1"/>
  <c r="T55" i="24" s="1"/>
  <c r="V13" i="13"/>
  <c r="V27" i="12"/>
  <c r="V27" i="13"/>
  <c r="T27" i="24" s="1"/>
  <c r="T69" i="24" s="1"/>
  <c r="V30" i="12"/>
  <c r="V30" i="13"/>
  <c r="V20" i="12"/>
  <c r="W20" i="12" s="1"/>
  <c r="V20" i="13"/>
  <c r="W5" i="11"/>
  <c r="V5" i="12"/>
  <c r="T5" i="24" s="1"/>
  <c r="T47" i="24" s="1"/>
  <c r="V43" i="11"/>
  <c r="V5" i="13"/>
  <c r="W9" i="11"/>
  <c r="V9" i="12"/>
  <c r="T9" i="24" s="1"/>
  <c r="T51" i="24" s="1"/>
  <c r="V9" i="13"/>
  <c r="M5" i="9"/>
  <c r="M53" i="7"/>
  <c r="M58" i="7" s="1"/>
  <c r="M49" i="8" s="1"/>
  <c r="M49" i="23" s="1"/>
  <c r="M101" i="23" s="1"/>
  <c r="M15" i="9"/>
  <c r="M23" i="9"/>
  <c r="P26" i="8"/>
  <c r="P27" i="8"/>
  <c r="P31" i="8"/>
  <c r="P31" i="23" s="1"/>
  <c r="P83" i="23" s="1"/>
  <c r="P30" i="8"/>
  <c r="P30" i="23" s="1"/>
  <c r="P82" i="23" s="1"/>
  <c r="P32" i="8"/>
  <c r="P32" i="23" s="1"/>
  <c r="P84" i="23" s="1"/>
  <c r="M37" i="9"/>
  <c r="AH53" i="9"/>
  <c r="W33" i="11"/>
  <c r="P28" i="8"/>
  <c r="P22" i="8"/>
  <c r="P23" i="8"/>
  <c r="P29" i="8"/>
  <c r="P51" i="8"/>
  <c r="P51" i="23" s="1"/>
  <c r="P103" i="23" s="1"/>
  <c r="P49" i="8"/>
  <c r="P49" i="23" s="1"/>
  <c r="P101" i="23" s="1"/>
  <c r="AH35" i="8"/>
  <c r="AD35" i="23" s="1"/>
  <c r="AD87" i="23" s="1"/>
  <c r="AH46" i="8"/>
  <c r="AD46" i="23" s="1"/>
  <c r="AD98" i="23" s="1"/>
  <c r="W48" i="8"/>
  <c r="V48" i="23" s="1"/>
  <c r="V100" i="23" s="1"/>
  <c r="W19" i="8"/>
  <c r="V19" i="23" s="1"/>
  <c r="V71" i="23" s="1"/>
  <c r="W24" i="8"/>
  <c r="V24" i="23" s="1"/>
  <c r="V76" i="23" s="1"/>
  <c r="W45" i="8"/>
  <c r="V45" i="23" s="1"/>
  <c r="V97" i="23" s="1"/>
  <c r="W34" i="8"/>
  <c r="V34" i="23" s="1"/>
  <c r="V86" i="23" s="1"/>
  <c r="W53" i="9"/>
  <c r="P34" i="8"/>
  <c r="P34" i="23" s="1"/>
  <c r="P86" i="23" s="1"/>
  <c r="Q17" i="11"/>
  <c r="M17" i="12"/>
  <c r="M17" i="24" s="1"/>
  <c r="M59" i="24" s="1"/>
  <c r="M17" i="13"/>
  <c r="Q18" i="11"/>
  <c r="M18" i="12"/>
  <c r="M18" i="24" s="1"/>
  <c r="M60" i="24" s="1"/>
  <c r="M18" i="13"/>
  <c r="Q33" i="11"/>
  <c r="M33" i="12"/>
  <c r="M33" i="24" s="1"/>
  <c r="M75" i="24" s="1"/>
  <c r="M33" i="13"/>
  <c r="Q27" i="11"/>
  <c r="M27" i="12"/>
  <c r="M27" i="24" s="1"/>
  <c r="M69" i="24" s="1"/>
  <c r="M27" i="13"/>
  <c r="Q14" i="11"/>
  <c r="M14" i="12"/>
  <c r="M14" i="24" s="1"/>
  <c r="M56" i="24" s="1"/>
  <c r="M14" i="13"/>
  <c r="Q22" i="11"/>
  <c r="M22" i="12"/>
  <c r="M22" i="13"/>
  <c r="M22" i="24" s="1"/>
  <c r="M64" i="24" s="1"/>
  <c r="Q40" i="11"/>
  <c r="M40" i="12"/>
  <c r="M40" i="24" s="1"/>
  <c r="M82" i="24" s="1"/>
  <c r="M40" i="13"/>
  <c r="Q15" i="11"/>
  <c r="M15" i="12"/>
  <c r="M15" i="24" s="1"/>
  <c r="M57" i="24" s="1"/>
  <c r="M15" i="13"/>
  <c r="Q8" i="11"/>
  <c r="AB8" i="11" s="1"/>
  <c r="M8" i="12"/>
  <c r="M8" i="24" s="1"/>
  <c r="M50" i="24" s="1"/>
  <c r="M8" i="13"/>
  <c r="W28" i="11"/>
  <c r="N23" i="12"/>
  <c r="N23" i="24" s="1"/>
  <c r="N65" i="24" s="1"/>
  <c r="N23" i="13"/>
  <c r="N39" i="12"/>
  <c r="N39" i="24" s="1"/>
  <c r="N81" i="24" s="1"/>
  <c r="N39" i="13"/>
  <c r="N22" i="12"/>
  <c r="N22" i="24" s="1"/>
  <c r="N64" i="24" s="1"/>
  <c r="N22" i="13"/>
  <c r="N24" i="12"/>
  <c r="N24" i="24" s="1"/>
  <c r="N66" i="24" s="1"/>
  <c r="N24" i="13"/>
  <c r="N18" i="12"/>
  <c r="N18" i="24" s="1"/>
  <c r="N60" i="24" s="1"/>
  <c r="N18" i="13"/>
  <c r="N20" i="12"/>
  <c r="N20" i="24" s="1"/>
  <c r="N62" i="24" s="1"/>
  <c r="N20" i="13"/>
  <c r="N5" i="12"/>
  <c r="N43" i="11"/>
  <c r="N5" i="13"/>
  <c r="N9" i="12"/>
  <c r="N9" i="24" s="1"/>
  <c r="N51" i="24" s="1"/>
  <c r="N9" i="13"/>
  <c r="N17" i="12"/>
  <c r="N17" i="24" s="1"/>
  <c r="N59" i="24" s="1"/>
  <c r="N17" i="13"/>
  <c r="P25" i="8"/>
  <c r="P25" i="23" s="1"/>
  <c r="P77" i="23" s="1"/>
  <c r="P18" i="8"/>
  <c r="P18" i="23" s="1"/>
  <c r="P70" i="23" s="1"/>
  <c r="P15" i="8"/>
  <c r="P15" i="23" s="1"/>
  <c r="P67" i="23" s="1"/>
  <c r="P19" i="8"/>
  <c r="P19" i="23" s="1"/>
  <c r="P71" i="23" s="1"/>
  <c r="P40" i="8"/>
  <c r="P40" i="23" s="1"/>
  <c r="P92" i="23" s="1"/>
  <c r="P50" i="8"/>
  <c r="P50" i="23" s="1"/>
  <c r="P102" i="23" s="1"/>
  <c r="L29" i="8"/>
  <c r="L29" i="23" s="1"/>
  <c r="L81" i="23" s="1"/>
  <c r="L16" i="8"/>
  <c r="L16" i="23" s="1"/>
  <c r="L68" i="23" s="1"/>
  <c r="L17" i="8"/>
  <c r="L17" i="23" s="1"/>
  <c r="L69" i="23" s="1"/>
  <c r="L49" i="8"/>
  <c r="L49" i="23" s="1"/>
  <c r="L101" i="23" s="1"/>
  <c r="M34" i="8"/>
  <c r="M34" i="23" s="1"/>
  <c r="M86" i="23" s="1"/>
  <c r="M34" i="9"/>
  <c r="Q27" i="8"/>
  <c r="Q27" i="23" s="1"/>
  <c r="Q79" i="23" s="1"/>
  <c r="Q9" i="8"/>
  <c r="Q9" i="23" s="1"/>
  <c r="Q61" i="23" s="1"/>
  <c r="Q36" i="8"/>
  <c r="Q36" i="23" s="1"/>
  <c r="Q88" i="23" s="1"/>
  <c r="Q51" i="8"/>
  <c r="Q51" i="23" s="1"/>
  <c r="Q103" i="23" s="1"/>
  <c r="Q37" i="8"/>
  <c r="Q37" i="23" s="1"/>
  <c r="Q89" i="23" s="1"/>
  <c r="U19" i="8"/>
  <c r="T19" i="23" s="1"/>
  <c r="T71" i="23" s="1"/>
  <c r="AI32" i="8"/>
  <c r="AE32" i="23" s="1"/>
  <c r="AE84" i="23" s="1"/>
  <c r="AI6" i="8"/>
  <c r="AE6" i="23" s="1"/>
  <c r="AE58" i="23" s="1"/>
  <c r="AI29" i="8"/>
  <c r="AE29" i="23" s="1"/>
  <c r="AE81" i="23" s="1"/>
  <c r="AI50" i="8"/>
  <c r="AE50" i="23" s="1"/>
  <c r="AE102" i="23" s="1"/>
  <c r="AH11" i="8"/>
  <c r="AD11" i="23" s="1"/>
  <c r="AD63" i="23" s="1"/>
  <c r="AH25" i="8"/>
  <c r="AD25" i="23" s="1"/>
  <c r="AD77" i="23" s="1"/>
  <c r="AH14" i="8"/>
  <c r="AD14" i="23" s="1"/>
  <c r="AD66" i="23" s="1"/>
  <c r="AH30" i="8"/>
  <c r="AD30" i="23" s="1"/>
  <c r="AD82" i="23" s="1"/>
  <c r="AH43" i="8"/>
  <c r="AD43" i="23" s="1"/>
  <c r="AD95" i="23" s="1"/>
  <c r="X23" i="8"/>
  <c r="W23" i="23" s="1"/>
  <c r="W75" i="23" s="1"/>
  <c r="M17" i="8"/>
  <c r="M17" i="23" s="1"/>
  <c r="M69" i="23" s="1"/>
  <c r="M17" i="9"/>
  <c r="W46" i="8"/>
  <c r="V46" i="23" s="1"/>
  <c r="V98" i="23" s="1"/>
  <c r="W15" i="8"/>
  <c r="V15" i="23" s="1"/>
  <c r="V67" i="23" s="1"/>
  <c r="W20" i="8"/>
  <c r="V20" i="23" s="1"/>
  <c r="V72" i="23" s="1"/>
  <c r="W36" i="8"/>
  <c r="V36" i="23" s="1"/>
  <c r="V88" i="23" s="1"/>
  <c r="W32" i="8"/>
  <c r="V32" i="23" s="1"/>
  <c r="V84" i="23" s="1"/>
  <c r="AC5" i="8"/>
  <c r="AA5" i="23" s="1"/>
  <c r="AA57" i="23" s="1"/>
  <c r="AC15" i="8"/>
  <c r="AC48" i="8"/>
  <c r="T24" i="12"/>
  <c r="R24" i="24" s="1"/>
  <c r="R66" i="24" s="1"/>
  <c r="T24" i="13"/>
  <c r="W24" i="13" s="1"/>
  <c r="T16" i="12"/>
  <c r="R16" i="24" s="1"/>
  <c r="R58" i="24" s="1"/>
  <c r="T16" i="13"/>
  <c r="T31" i="12"/>
  <c r="R31" i="24" s="1"/>
  <c r="R73" i="24" s="1"/>
  <c r="W31" i="11"/>
  <c r="T31" i="13"/>
  <c r="T36" i="12"/>
  <c r="W36" i="12" s="1"/>
  <c r="T36" i="13"/>
  <c r="W36" i="13" s="1"/>
  <c r="T41" i="12"/>
  <c r="R41" i="24" s="1"/>
  <c r="R83" i="24" s="1"/>
  <c r="T41" i="13"/>
  <c r="T19" i="12"/>
  <c r="R19" i="24" s="1"/>
  <c r="R61" i="24" s="1"/>
  <c r="T19" i="13"/>
  <c r="W19" i="11"/>
  <c r="AB19" i="11" s="1"/>
  <c r="T6" i="12"/>
  <c r="R6" i="24" s="1"/>
  <c r="R48" i="24" s="1"/>
  <c r="T6" i="13"/>
  <c r="T5" i="12"/>
  <c r="T43" i="11"/>
  <c r="T5" i="13"/>
  <c r="T13" i="12"/>
  <c r="W13" i="12" s="1"/>
  <c r="T13" i="13"/>
  <c r="W13" i="13" s="1"/>
  <c r="L21" i="12"/>
  <c r="L21" i="24" s="1"/>
  <c r="L63" i="24" s="1"/>
  <c r="L21" i="13"/>
  <c r="L13" i="12"/>
  <c r="L13" i="24" s="1"/>
  <c r="L55" i="24" s="1"/>
  <c r="L13" i="13"/>
  <c r="L17" i="12"/>
  <c r="L17" i="24" s="1"/>
  <c r="L59" i="24" s="1"/>
  <c r="L17" i="13"/>
  <c r="L14" i="12"/>
  <c r="L14" i="24" s="1"/>
  <c r="L56" i="24" s="1"/>
  <c r="L14" i="13"/>
  <c r="L16" i="12"/>
  <c r="L16" i="24" s="1"/>
  <c r="L58" i="24" s="1"/>
  <c r="L16" i="13"/>
  <c r="L29" i="12"/>
  <c r="L29" i="24" s="1"/>
  <c r="L71" i="24" s="1"/>
  <c r="L29" i="13"/>
  <c r="L11" i="12"/>
  <c r="L11" i="24" s="1"/>
  <c r="L53" i="24" s="1"/>
  <c r="L11" i="13"/>
  <c r="L24" i="12"/>
  <c r="L24" i="24" s="1"/>
  <c r="L66" i="24" s="1"/>
  <c r="L24" i="13"/>
  <c r="L7" i="12"/>
  <c r="L7" i="24" s="1"/>
  <c r="L49" i="24" s="1"/>
  <c r="L7" i="13"/>
  <c r="L15" i="12"/>
  <c r="L15" i="24" s="1"/>
  <c r="L57" i="24" s="1"/>
  <c r="L15" i="13"/>
  <c r="M19" i="8"/>
  <c r="M19" i="23" s="1"/>
  <c r="M71" i="23" s="1"/>
  <c r="M19" i="9"/>
  <c r="M11" i="8"/>
  <c r="M11" i="23" s="1"/>
  <c r="M63" i="23" s="1"/>
  <c r="M11" i="9"/>
  <c r="Q8" i="8"/>
  <c r="Q8" i="23" s="1"/>
  <c r="Q60" i="23" s="1"/>
  <c r="M24" i="8"/>
  <c r="M24" i="23" s="1"/>
  <c r="M76" i="23" s="1"/>
  <c r="M24" i="9"/>
  <c r="Q7" i="8"/>
  <c r="Q7" i="23" s="1"/>
  <c r="Q59" i="23" s="1"/>
  <c r="E35" i="5"/>
  <c r="L45" i="13"/>
  <c r="L45" i="12"/>
  <c r="L45" i="10"/>
  <c r="L45" i="11"/>
  <c r="F35" i="5"/>
  <c r="L46" i="13"/>
  <c r="L46" i="12"/>
  <c r="L46" i="11"/>
  <c r="L46" i="10"/>
  <c r="Q5" i="8"/>
  <c r="Q5" i="23" s="1"/>
  <c r="Q57" i="23" s="1"/>
  <c r="Q34" i="8"/>
  <c r="Q34" i="23" s="1"/>
  <c r="Q86" i="23" s="1"/>
  <c r="Q33" i="8"/>
  <c r="Q33" i="23" s="1"/>
  <c r="Q85" i="23" s="1"/>
  <c r="P44" i="8"/>
  <c r="P44" i="23" s="1"/>
  <c r="P96" i="23" s="1"/>
  <c r="AA5" i="13"/>
  <c r="P40" i="12"/>
  <c r="P40" i="24" s="1"/>
  <c r="P82" i="24" s="1"/>
  <c r="P40" i="13"/>
  <c r="P41" i="12"/>
  <c r="P41" i="24" s="1"/>
  <c r="P83" i="24" s="1"/>
  <c r="P41" i="13"/>
  <c r="P26" i="12"/>
  <c r="P26" i="24" s="1"/>
  <c r="P68" i="24" s="1"/>
  <c r="P26" i="13"/>
  <c r="P36" i="12"/>
  <c r="P36" i="24" s="1"/>
  <c r="P78" i="24" s="1"/>
  <c r="P36" i="13"/>
  <c r="P35" i="12"/>
  <c r="P35" i="24" s="1"/>
  <c r="P77" i="24" s="1"/>
  <c r="P35" i="13"/>
  <c r="P11" i="12"/>
  <c r="P11" i="24" s="1"/>
  <c r="P53" i="24" s="1"/>
  <c r="P11" i="13"/>
  <c r="P34" i="12"/>
  <c r="P34" i="24" s="1"/>
  <c r="P76" i="24" s="1"/>
  <c r="P34" i="13"/>
  <c r="P6" i="12"/>
  <c r="P6" i="24" s="1"/>
  <c r="P48" i="24" s="1"/>
  <c r="P6" i="13"/>
  <c r="P10" i="12"/>
  <c r="P10" i="24" s="1"/>
  <c r="P52" i="24" s="1"/>
  <c r="P10" i="13"/>
  <c r="V38" i="9"/>
  <c r="V25" i="9"/>
  <c r="V20" i="9"/>
  <c r="V44" i="9"/>
  <c r="V19" i="9"/>
  <c r="V31" i="9"/>
  <c r="V48" i="9"/>
  <c r="V14" i="9"/>
  <c r="V37" i="9"/>
  <c r="V28" i="9"/>
  <c r="V36" i="9"/>
  <c r="V51" i="9"/>
  <c r="V25" i="12"/>
  <c r="T25" i="24" s="1"/>
  <c r="T67" i="24" s="1"/>
  <c r="V25" i="13"/>
  <c r="V16" i="12"/>
  <c r="T16" i="24" s="1"/>
  <c r="T58" i="24" s="1"/>
  <c r="V16" i="13"/>
  <c r="V31" i="12"/>
  <c r="T31" i="24" s="1"/>
  <c r="T73" i="24" s="1"/>
  <c r="V31" i="13"/>
  <c r="W12" i="11"/>
  <c r="V12" i="12"/>
  <c r="T12" i="24" s="1"/>
  <c r="T54" i="24" s="1"/>
  <c r="V12" i="13"/>
  <c r="V19" i="12"/>
  <c r="T19" i="24" s="1"/>
  <c r="T61" i="24" s="1"/>
  <c r="V19" i="13"/>
  <c r="V41" i="12"/>
  <c r="T41" i="24" s="1"/>
  <c r="T83" i="24" s="1"/>
  <c r="V41" i="13"/>
  <c r="V23" i="12"/>
  <c r="T23" i="24" s="1"/>
  <c r="T65" i="24" s="1"/>
  <c r="V23" i="13"/>
  <c r="W6" i="11"/>
  <c r="V6" i="12"/>
  <c r="V6" i="13"/>
  <c r="W10" i="11"/>
  <c r="V10" i="12"/>
  <c r="T10" i="24" s="1"/>
  <c r="T52" i="24" s="1"/>
  <c r="V10" i="13"/>
  <c r="M6" i="8"/>
  <c r="M6" i="23" s="1"/>
  <c r="M58" i="23" s="1"/>
  <c r="M6" i="9"/>
  <c r="M12" i="8"/>
  <c r="M12" i="23" s="1"/>
  <c r="M64" i="23" s="1"/>
  <c r="M12" i="9"/>
  <c r="L18" i="8"/>
  <c r="L18" i="23" s="1"/>
  <c r="L70" i="23" s="1"/>
  <c r="L48" i="8"/>
  <c r="L48" i="23" s="1"/>
  <c r="L100" i="23" s="1"/>
  <c r="L36" i="8"/>
  <c r="L36" i="23" s="1"/>
  <c r="L88" i="23" s="1"/>
  <c r="L34" i="8"/>
  <c r="L34" i="23" s="1"/>
  <c r="L86" i="23" s="1"/>
  <c r="L19" i="8"/>
  <c r="L19" i="23" s="1"/>
  <c r="L71" i="23" s="1"/>
  <c r="M50" i="8"/>
  <c r="M50" i="23" s="1"/>
  <c r="M102" i="23" s="1"/>
  <c r="M50" i="9"/>
  <c r="Q26" i="8"/>
  <c r="Q26" i="23" s="1"/>
  <c r="Q78" i="23" s="1"/>
  <c r="Q15" i="8"/>
  <c r="Q15" i="23" s="1"/>
  <c r="Q67" i="23" s="1"/>
  <c r="Q38" i="8"/>
  <c r="Q38" i="23" s="1"/>
  <c r="Q90" i="23" s="1"/>
  <c r="Q43" i="8"/>
  <c r="Q43" i="23" s="1"/>
  <c r="Q95" i="23" s="1"/>
  <c r="Q49" i="8"/>
  <c r="Q49" i="23" s="1"/>
  <c r="Q101" i="23" s="1"/>
  <c r="M48" i="8"/>
  <c r="M48" i="23" s="1"/>
  <c r="M100" i="23" s="1"/>
  <c r="M48" i="9"/>
  <c r="L37" i="8"/>
  <c r="L37" i="23" s="1"/>
  <c r="L89" i="23" s="1"/>
  <c r="M13" i="8"/>
  <c r="M13" i="23" s="1"/>
  <c r="M65" i="23" s="1"/>
  <c r="M13" i="9"/>
  <c r="M7" i="8"/>
  <c r="M7" i="23" s="1"/>
  <c r="M59" i="23" s="1"/>
  <c r="M7" i="9"/>
  <c r="M8" i="8"/>
  <c r="M8" i="23" s="1"/>
  <c r="M60" i="23" s="1"/>
  <c r="M8" i="9"/>
  <c r="M22" i="8"/>
  <c r="M22" i="23" s="1"/>
  <c r="M74" i="23" s="1"/>
  <c r="M22" i="9"/>
  <c r="P53" i="9"/>
  <c r="M47" i="8"/>
  <c r="M47" i="9"/>
  <c r="L6" i="8"/>
  <c r="L6" i="23" s="1"/>
  <c r="L58" i="23" s="1"/>
  <c r="L20" i="8"/>
  <c r="L20" i="23" s="1"/>
  <c r="L72" i="23" s="1"/>
  <c r="L25" i="8"/>
  <c r="L25" i="23" s="1"/>
  <c r="L77" i="23" s="1"/>
  <c r="L32" i="8"/>
  <c r="L32" i="23" s="1"/>
  <c r="L84" i="23" s="1"/>
  <c r="L31" i="8"/>
  <c r="L31" i="23" s="1"/>
  <c r="L83" i="23" s="1"/>
  <c r="Q29" i="8"/>
  <c r="Q29" i="23" s="1"/>
  <c r="Q81" i="23" s="1"/>
  <c r="Q13" i="8"/>
  <c r="Q13" i="23" s="1"/>
  <c r="Q65" i="23" s="1"/>
  <c r="Q35" i="8"/>
  <c r="Q35" i="23" s="1"/>
  <c r="Q87" i="23" s="1"/>
  <c r="Q40" i="8"/>
  <c r="Q40" i="23" s="1"/>
  <c r="Q92" i="23" s="1"/>
  <c r="Q11" i="8"/>
  <c r="Q11" i="23" s="1"/>
  <c r="Q63" i="23" s="1"/>
  <c r="AH5" i="8"/>
  <c r="AD5" i="23" s="1"/>
  <c r="AD57" i="23" s="1"/>
  <c r="AH23" i="8"/>
  <c r="AD23" i="23" s="1"/>
  <c r="AD75" i="23" s="1"/>
  <c r="AH44" i="8"/>
  <c r="AD44" i="23" s="1"/>
  <c r="AD96" i="23" s="1"/>
  <c r="W5" i="8"/>
  <c r="V5" i="23" s="1"/>
  <c r="V57" i="23" s="1"/>
  <c r="M40" i="8"/>
  <c r="M40" i="23" s="1"/>
  <c r="M92" i="23" s="1"/>
  <c r="M40" i="9"/>
  <c r="W24" i="12"/>
  <c r="Q39" i="11"/>
  <c r="M39" i="12"/>
  <c r="M39" i="24" s="1"/>
  <c r="M81" i="24" s="1"/>
  <c r="M39" i="13"/>
  <c r="Q16" i="11"/>
  <c r="M16" i="12"/>
  <c r="M16" i="24" s="1"/>
  <c r="M58" i="24" s="1"/>
  <c r="M16" i="13"/>
  <c r="Q28" i="11"/>
  <c r="AB28" i="11" s="1"/>
  <c r="M28" i="12"/>
  <c r="M28" i="24" s="1"/>
  <c r="M70" i="24" s="1"/>
  <c r="M28" i="13"/>
  <c r="Q30" i="11"/>
  <c r="M30" i="12"/>
  <c r="M30" i="24" s="1"/>
  <c r="M72" i="24" s="1"/>
  <c r="M30" i="13"/>
  <c r="Q13" i="11"/>
  <c r="AB13" i="11" s="1"/>
  <c r="M13" i="12"/>
  <c r="M13" i="13"/>
  <c r="Q41" i="11"/>
  <c r="AB41" i="11" s="1"/>
  <c r="M41" i="12"/>
  <c r="M41" i="24" s="1"/>
  <c r="M83" i="24" s="1"/>
  <c r="M41" i="13"/>
  <c r="Q24" i="11"/>
  <c r="M24" i="12"/>
  <c r="Q24" i="12" s="1"/>
  <c r="M24" i="13"/>
  <c r="Q5" i="11"/>
  <c r="M5" i="12"/>
  <c r="M5" i="24" s="1"/>
  <c r="M47" i="24" s="1"/>
  <c r="M5" i="13"/>
  <c r="M43" i="11"/>
  <c r="Q9" i="11"/>
  <c r="AB9" i="11" s="1"/>
  <c r="M9" i="12"/>
  <c r="M9" i="24" s="1"/>
  <c r="M51" i="24" s="1"/>
  <c r="M9" i="13"/>
  <c r="W40" i="11"/>
  <c r="N33" i="12"/>
  <c r="N33" i="24" s="1"/>
  <c r="N75" i="24" s="1"/>
  <c r="N33" i="13"/>
  <c r="N26" i="12"/>
  <c r="N26" i="24" s="1"/>
  <c r="N68" i="24" s="1"/>
  <c r="N26" i="13"/>
  <c r="N19" i="12"/>
  <c r="N19" i="24" s="1"/>
  <c r="N61" i="24" s="1"/>
  <c r="N19" i="13"/>
  <c r="N32" i="12"/>
  <c r="N32" i="24" s="1"/>
  <c r="N74" i="24" s="1"/>
  <c r="N32" i="13"/>
  <c r="N35" i="12"/>
  <c r="N35" i="24" s="1"/>
  <c r="N77" i="24" s="1"/>
  <c r="N35" i="13"/>
  <c r="N41" i="12"/>
  <c r="N41" i="24" s="1"/>
  <c r="N83" i="24" s="1"/>
  <c r="N41" i="13"/>
  <c r="N31" i="12"/>
  <c r="N31" i="24" s="1"/>
  <c r="N73" i="24" s="1"/>
  <c r="N31" i="13"/>
  <c r="N6" i="12"/>
  <c r="N6" i="13"/>
  <c r="N10" i="12"/>
  <c r="N10" i="13"/>
  <c r="N15" i="12"/>
  <c r="N15" i="24" s="1"/>
  <c r="N57" i="24" s="1"/>
  <c r="N15" i="13"/>
  <c r="L33" i="8"/>
  <c r="L33" i="23" s="1"/>
  <c r="L85" i="23" s="1"/>
  <c r="O45" i="8"/>
  <c r="O45" i="23" s="1"/>
  <c r="O97" i="23" s="1"/>
  <c r="O47" i="8"/>
  <c r="O47" i="23" s="1"/>
  <c r="O99" i="23" s="1"/>
  <c r="O28" i="8"/>
  <c r="O28" i="23" s="1"/>
  <c r="O80" i="23" s="1"/>
  <c r="O15" i="8"/>
  <c r="O15" i="23" s="1"/>
  <c r="O67" i="23" s="1"/>
  <c r="O50" i="8"/>
  <c r="O50" i="23" s="1"/>
  <c r="O102" i="23" s="1"/>
  <c r="O38" i="8"/>
  <c r="O38" i="23" s="1"/>
  <c r="O90" i="23" s="1"/>
  <c r="O35" i="8"/>
  <c r="O35" i="23" s="1"/>
  <c r="O87" i="23" s="1"/>
  <c r="U53" i="9"/>
  <c r="AD53" i="7"/>
  <c r="AC47" i="8"/>
  <c r="AC24" i="8"/>
  <c r="Q31" i="8"/>
  <c r="Q31" i="23" s="1"/>
  <c r="Q83" i="23" s="1"/>
  <c r="S5" i="13"/>
  <c r="S43" i="13" s="1"/>
  <c r="R43" i="13"/>
  <c r="T35" i="12"/>
  <c r="R35" i="24" s="1"/>
  <c r="R77" i="24" s="1"/>
  <c r="T35" i="13"/>
  <c r="W35" i="11"/>
  <c r="T29" i="12"/>
  <c r="R29" i="24" s="1"/>
  <c r="R71" i="24" s="1"/>
  <c r="T29" i="13"/>
  <c r="T38" i="12"/>
  <c r="R38" i="24" s="1"/>
  <c r="R80" i="24" s="1"/>
  <c r="T38" i="13"/>
  <c r="T23" i="12"/>
  <c r="W23" i="12" s="1"/>
  <c r="T23" i="13"/>
  <c r="W23" i="11"/>
  <c r="T21" i="12"/>
  <c r="R21" i="24" s="1"/>
  <c r="R63" i="24" s="1"/>
  <c r="T21" i="13"/>
  <c r="T30" i="12"/>
  <c r="R30" i="24" s="1"/>
  <c r="R72" i="24" s="1"/>
  <c r="T30" i="13"/>
  <c r="W30" i="13" s="1"/>
  <c r="T8" i="12"/>
  <c r="W8" i="12" s="1"/>
  <c r="T8" i="13"/>
  <c r="W8" i="13" s="1"/>
  <c r="T7" i="12"/>
  <c r="R7" i="24" s="1"/>
  <c r="R49" i="24" s="1"/>
  <c r="T7" i="13"/>
  <c r="T27" i="12"/>
  <c r="W27" i="12" s="1"/>
  <c r="T27" i="13"/>
  <c r="W27" i="11"/>
  <c r="L28" i="12"/>
  <c r="L28" i="24" s="1"/>
  <c r="L70" i="24" s="1"/>
  <c r="L28" i="13"/>
  <c r="L23" i="12"/>
  <c r="Q23" i="12" s="1"/>
  <c r="L23" i="13"/>
  <c r="L40" i="12"/>
  <c r="Q40" i="12" s="1"/>
  <c r="L40" i="13"/>
  <c r="Q40" i="13" s="1"/>
  <c r="L26" i="12"/>
  <c r="L26" i="24" s="1"/>
  <c r="L68" i="24" s="1"/>
  <c r="L26" i="13"/>
  <c r="L31" i="12"/>
  <c r="L31" i="13"/>
  <c r="L32" i="12"/>
  <c r="L32" i="24" s="1"/>
  <c r="L74" i="24" s="1"/>
  <c r="L32" i="13"/>
  <c r="L34" i="12"/>
  <c r="L34" i="24" s="1"/>
  <c r="L76" i="24" s="1"/>
  <c r="L34" i="13"/>
  <c r="Q34" i="13" s="1"/>
  <c r="L35" i="12"/>
  <c r="L35" i="24" s="1"/>
  <c r="L77" i="24" s="1"/>
  <c r="L35" i="13"/>
  <c r="L8" i="12"/>
  <c r="L8" i="24" s="1"/>
  <c r="L50" i="24" s="1"/>
  <c r="L8" i="13"/>
  <c r="N56" i="9"/>
  <c r="N56" i="8"/>
  <c r="N56" i="7"/>
  <c r="M21" i="8"/>
  <c r="M21" i="23" s="1"/>
  <c r="M73" i="23" s="1"/>
  <c r="M21" i="9"/>
  <c r="Q47" i="8"/>
  <c r="Q47" i="23" s="1"/>
  <c r="Q99" i="23" s="1"/>
  <c r="M38" i="8"/>
  <c r="M38" i="23" s="1"/>
  <c r="M90" i="23" s="1"/>
  <c r="M38" i="9"/>
  <c r="M36" i="8"/>
  <c r="M36" i="23" s="1"/>
  <c r="M88" i="23" s="1"/>
  <c r="M36" i="9"/>
  <c r="N55" i="9"/>
  <c r="N55" i="8"/>
  <c r="N55" i="7"/>
  <c r="T54" i="9"/>
  <c r="T54" i="8"/>
  <c r="T54" i="7"/>
  <c r="M31" i="8"/>
  <c r="M31" i="23" s="1"/>
  <c r="M83" i="23" s="1"/>
  <c r="M31" i="9"/>
  <c r="P14" i="8"/>
  <c r="P14" i="23" s="1"/>
  <c r="P66" i="23" s="1"/>
  <c r="P7" i="8"/>
  <c r="P7" i="23" s="1"/>
  <c r="P59" i="23" s="1"/>
  <c r="P11" i="8"/>
  <c r="P11" i="23" s="1"/>
  <c r="P63" i="23" s="1"/>
  <c r="P41" i="8"/>
  <c r="P41" i="23" s="1"/>
  <c r="P93" i="23" s="1"/>
  <c r="P36" i="8"/>
  <c r="P36" i="23" s="1"/>
  <c r="P88" i="23" s="1"/>
  <c r="M45" i="8"/>
  <c r="M45" i="23" s="1"/>
  <c r="M97" i="23" s="1"/>
  <c r="M45" i="9"/>
  <c r="Q32" i="8"/>
  <c r="Q32" i="23" s="1"/>
  <c r="Q84" i="23" s="1"/>
  <c r="Q10" i="8"/>
  <c r="Q10" i="23" s="1"/>
  <c r="Q62" i="23" s="1"/>
  <c r="Q21" i="8"/>
  <c r="Q21" i="23" s="1"/>
  <c r="Q73" i="23" s="1"/>
  <c r="U43" i="12"/>
  <c r="W16" i="11"/>
  <c r="P27" i="12"/>
  <c r="P27" i="24" s="1"/>
  <c r="P69" i="24" s="1"/>
  <c r="P27" i="13"/>
  <c r="P17" i="12"/>
  <c r="P17" i="24" s="1"/>
  <c r="P59" i="24" s="1"/>
  <c r="P17" i="13"/>
  <c r="P33" i="12"/>
  <c r="P33" i="24" s="1"/>
  <c r="P75" i="24" s="1"/>
  <c r="P33" i="13"/>
  <c r="P25" i="12"/>
  <c r="P25" i="24" s="1"/>
  <c r="P67" i="24" s="1"/>
  <c r="P25" i="13"/>
  <c r="P16" i="12"/>
  <c r="P16" i="24" s="1"/>
  <c r="P58" i="24" s="1"/>
  <c r="P16" i="13"/>
  <c r="P38" i="12"/>
  <c r="P38" i="24" s="1"/>
  <c r="P80" i="24" s="1"/>
  <c r="P38" i="13"/>
  <c r="P21" i="12"/>
  <c r="P21" i="24" s="1"/>
  <c r="P63" i="24" s="1"/>
  <c r="P21" i="13"/>
  <c r="P18" i="12"/>
  <c r="P18" i="13"/>
  <c r="P7" i="12"/>
  <c r="P7" i="24" s="1"/>
  <c r="P49" i="24" s="1"/>
  <c r="P7" i="13"/>
  <c r="P15" i="12"/>
  <c r="P15" i="24" s="1"/>
  <c r="P57" i="24" s="1"/>
  <c r="P15" i="13"/>
  <c r="V53" i="7"/>
  <c r="V58" i="7" s="1"/>
  <c r="V13" i="8" s="1"/>
  <c r="U13" i="23" s="1"/>
  <c r="U65" i="23" s="1"/>
  <c r="V5" i="9"/>
  <c r="V8" i="9"/>
  <c r="V24" i="9"/>
  <c r="V7" i="9"/>
  <c r="V23" i="9"/>
  <c r="V33" i="9"/>
  <c r="V50" i="9"/>
  <c r="V18" i="9"/>
  <c r="V39" i="9"/>
  <c r="V30" i="9"/>
  <c r="V45" i="9"/>
  <c r="V38" i="12"/>
  <c r="T38" i="24" s="1"/>
  <c r="T80" i="24" s="1"/>
  <c r="V38" i="13"/>
  <c r="V17" i="12"/>
  <c r="T17" i="24" s="1"/>
  <c r="T59" i="24" s="1"/>
  <c r="V17" i="13"/>
  <c r="W14" i="11"/>
  <c r="V14" i="12"/>
  <c r="V14" i="13"/>
  <c r="V35" i="12"/>
  <c r="T35" i="24" s="1"/>
  <c r="T77" i="24" s="1"/>
  <c r="V35" i="13"/>
  <c r="V29" i="12"/>
  <c r="T29" i="24" s="1"/>
  <c r="T71" i="24" s="1"/>
  <c r="V29" i="13"/>
  <c r="V26" i="12"/>
  <c r="T26" i="24" s="1"/>
  <c r="T68" i="24" s="1"/>
  <c r="V26" i="13"/>
  <c r="V21" i="12"/>
  <c r="T21" i="24" s="1"/>
  <c r="T63" i="24" s="1"/>
  <c r="V21" i="13"/>
  <c r="V22" i="12"/>
  <c r="T22" i="24" s="1"/>
  <c r="T64" i="24" s="1"/>
  <c r="V22" i="13"/>
  <c r="W7" i="11"/>
  <c r="V7" i="12"/>
  <c r="T7" i="24" s="1"/>
  <c r="T49" i="24" s="1"/>
  <c r="V7" i="13"/>
  <c r="V15" i="12"/>
  <c r="T15" i="24" s="1"/>
  <c r="T57" i="24" s="1"/>
  <c r="V15" i="13"/>
  <c r="M10" i="8"/>
  <c r="M10" i="23" s="1"/>
  <c r="M62" i="23" s="1"/>
  <c r="M10" i="9"/>
  <c r="R58" i="7"/>
  <c r="S58" i="7"/>
  <c r="Q48" i="8"/>
  <c r="Q48" i="23" s="1"/>
  <c r="Q100" i="23" s="1"/>
  <c r="P17" i="8"/>
  <c r="P17" i="23" s="1"/>
  <c r="P69" i="23" s="1"/>
  <c r="P10" i="8"/>
  <c r="P10" i="23" s="1"/>
  <c r="P62" i="23" s="1"/>
  <c r="P12" i="8"/>
  <c r="P12" i="23" s="1"/>
  <c r="P64" i="23" s="1"/>
  <c r="P16" i="8"/>
  <c r="P16" i="23" s="1"/>
  <c r="P68" i="23" s="1"/>
  <c r="P42" i="8"/>
  <c r="P42" i="23" s="1"/>
  <c r="P94" i="23" s="1"/>
  <c r="P43" i="8"/>
  <c r="P43" i="23" s="1"/>
  <c r="P95" i="23" s="1"/>
  <c r="L10" i="8"/>
  <c r="L10" i="23" s="1"/>
  <c r="L62" i="23" s="1"/>
  <c r="L24" i="8"/>
  <c r="L24" i="23" s="1"/>
  <c r="L76" i="23" s="1"/>
  <c r="L53" i="9"/>
  <c r="M35" i="8"/>
  <c r="M35" i="23" s="1"/>
  <c r="M87" i="23" s="1"/>
  <c r="M35" i="9"/>
  <c r="W21" i="11"/>
  <c r="W29" i="11"/>
  <c r="M14" i="8"/>
  <c r="M14" i="9"/>
  <c r="M25" i="8"/>
  <c r="M25" i="23" s="1"/>
  <c r="M77" i="23" s="1"/>
  <c r="M25" i="9"/>
  <c r="P13" i="8"/>
  <c r="P13" i="23" s="1"/>
  <c r="P65" i="23" s="1"/>
  <c r="P6" i="8"/>
  <c r="P6" i="23" s="1"/>
  <c r="P58" i="23" s="1"/>
  <c r="P33" i="8"/>
  <c r="P33" i="23" s="1"/>
  <c r="P85" i="23" s="1"/>
  <c r="P8" i="8"/>
  <c r="P8" i="23" s="1"/>
  <c r="P60" i="23" s="1"/>
  <c r="P45" i="8"/>
  <c r="P45" i="23" s="1"/>
  <c r="P97" i="23" s="1"/>
  <c r="M29" i="8"/>
  <c r="M29" i="23" s="1"/>
  <c r="M81" i="23" s="1"/>
  <c r="M29" i="9"/>
  <c r="AH15" i="8"/>
  <c r="AD15" i="23" s="1"/>
  <c r="AD67" i="23" s="1"/>
  <c r="AH36" i="8"/>
  <c r="AD36" i="23" s="1"/>
  <c r="AD88" i="23" s="1"/>
  <c r="AH21" i="8"/>
  <c r="AD21" i="23" s="1"/>
  <c r="AD73" i="23" s="1"/>
  <c r="W39" i="8"/>
  <c r="V39" i="23" s="1"/>
  <c r="V91" i="23" s="1"/>
  <c r="W31" i="8"/>
  <c r="V31" i="23" s="1"/>
  <c r="V83" i="23" s="1"/>
  <c r="W44" i="8"/>
  <c r="V44" i="23" s="1"/>
  <c r="V96" i="23" s="1"/>
  <c r="W8" i="8"/>
  <c r="V8" i="23" s="1"/>
  <c r="V60" i="23" s="1"/>
  <c r="W18" i="8"/>
  <c r="V18" i="23" s="1"/>
  <c r="V70" i="23" s="1"/>
  <c r="W9" i="8"/>
  <c r="V9" i="23" s="1"/>
  <c r="V61" i="23" s="1"/>
  <c r="M27" i="8"/>
  <c r="M27" i="23" s="1"/>
  <c r="M79" i="23" s="1"/>
  <c r="M27" i="9"/>
  <c r="AH45" i="8"/>
  <c r="AD45" i="23" s="1"/>
  <c r="AD97" i="23" s="1"/>
  <c r="W24" i="11"/>
  <c r="Q37" i="11"/>
  <c r="M37" i="12"/>
  <c r="M37" i="24" s="1"/>
  <c r="M79" i="24" s="1"/>
  <c r="M37" i="13"/>
  <c r="Q38" i="11"/>
  <c r="AB38" i="11" s="1"/>
  <c r="M38" i="12"/>
  <c r="M38" i="24" s="1"/>
  <c r="M80" i="24" s="1"/>
  <c r="M38" i="13"/>
  <c r="Q35" i="11"/>
  <c r="M35" i="12"/>
  <c r="M35" i="24" s="1"/>
  <c r="M77" i="24" s="1"/>
  <c r="M35" i="13"/>
  <c r="Q31" i="11"/>
  <c r="AB31" i="11" s="1"/>
  <c r="M31" i="12"/>
  <c r="M31" i="24" s="1"/>
  <c r="M73" i="24" s="1"/>
  <c r="M31" i="13"/>
  <c r="Q29" i="11"/>
  <c r="M29" i="12"/>
  <c r="M29" i="24" s="1"/>
  <c r="M71" i="24" s="1"/>
  <c r="M29" i="13"/>
  <c r="Q36" i="11"/>
  <c r="M36" i="12"/>
  <c r="M36" i="24" s="1"/>
  <c r="M78" i="24" s="1"/>
  <c r="M36" i="13"/>
  <c r="Q25" i="11"/>
  <c r="AB25" i="11" s="1"/>
  <c r="M25" i="12"/>
  <c r="M25" i="24" s="1"/>
  <c r="M67" i="24" s="1"/>
  <c r="M25" i="13"/>
  <c r="Q20" i="11"/>
  <c r="M20" i="12"/>
  <c r="M20" i="24" s="1"/>
  <c r="M62" i="24" s="1"/>
  <c r="M20" i="13"/>
  <c r="Q6" i="11"/>
  <c r="M6" i="12"/>
  <c r="Q6" i="12" s="1"/>
  <c r="M6" i="13"/>
  <c r="Q10" i="11"/>
  <c r="M10" i="12"/>
  <c r="M10" i="24" s="1"/>
  <c r="M52" i="24" s="1"/>
  <c r="M10" i="13"/>
  <c r="W30" i="12"/>
  <c r="W17" i="11"/>
  <c r="N37" i="12"/>
  <c r="N37" i="24" s="1"/>
  <c r="N79" i="24" s="1"/>
  <c r="N37" i="13"/>
  <c r="N29" i="12"/>
  <c r="N29" i="24" s="1"/>
  <c r="N71" i="24" s="1"/>
  <c r="N29" i="13"/>
  <c r="N27" i="12"/>
  <c r="N27" i="24" s="1"/>
  <c r="N69" i="24" s="1"/>
  <c r="N27" i="13"/>
  <c r="N13" i="12"/>
  <c r="N13" i="24" s="1"/>
  <c r="N55" i="24" s="1"/>
  <c r="N13" i="13"/>
  <c r="N14" i="12"/>
  <c r="N14" i="24" s="1"/>
  <c r="N56" i="24" s="1"/>
  <c r="N14" i="13"/>
  <c r="N21" i="12"/>
  <c r="N21" i="24" s="1"/>
  <c r="N63" i="24" s="1"/>
  <c r="N21" i="13"/>
  <c r="N30" i="12"/>
  <c r="N30" i="24" s="1"/>
  <c r="N72" i="24" s="1"/>
  <c r="N30" i="13"/>
  <c r="N7" i="12"/>
  <c r="N7" i="24" s="1"/>
  <c r="N49" i="24" s="1"/>
  <c r="N7" i="13"/>
  <c r="N11" i="12"/>
  <c r="N11" i="24" s="1"/>
  <c r="N53" i="24" s="1"/>
  <c r="N11" i="13"/>
  <c r="M39" i="8"/>
  <c r="M39" i="9"/>
  <c r="M30" i="8"/>
  <c r="M30" i="23" s="1"/>
  <c r="M82" i="23" s="1"/>
  <c r="M30" i="9"/>
  <c r="P9" i="8"/>
  <c r="P9" i="23" s="1"/>
  <c r="P61" i="23" s="1"/>
  <c r="P48" i="8"/>
  <c r="P48" i="23" s="1"/>
  <c r="P100" i="23" s="1"/>
  <c r="P24" i="8"/>
  <c r="P38" i="8"/>
  <c r="P38" i="23" s="1"/>
  <c r="P90" i="23" s="1"/>
  <c r="P46" i="8"/>
  <c r="P46" i="23" s="1"/>
  <c r="P98" i="23" s="1"/>
  <c r="L22" i="8"/>
  <c r="L22" i="23" s="1"/>
  <c r="L74" i="23" s="1"/>
  <c r="L44" i="8"/>
  <c r="L44" i="23" s="1"/>
  <c r="L96" i="23" s="1"/>
  <c r="L21" i="8"/>
  <c r="L21" i="23" s="1"/>
  <c r="L73" i="23" s="1"/>
  <c r="L46" i="8"/>
  <c r="L46" i="23" s="1"/>
  <c r="L98" i="23" s="1"/>
  <c r="L7" i="8"/>
  <c r="L7" i="23" s="1"/>
  <c r="L59" i="23" s="1"/>
  <c r="O20" i="8"/>
  <c r="O20" i="23" s="1"/>
  <c r="O72" i="23" s="1"/>
  <c r="Q14" i="8"/>
  <c r="Q14" i="23" s="1"/>
  <c r="Q66" i="23" s="1"/>
  <c r="Q25" i="8"/>
  <c r="Q25" i="23" s="1"/>
  <c r="Q77" i="23" s="1"/>
  <c r="Q16" i="8"/>
  <c r="Q16" i="23" s="1"/>
  <c r="Q68" i="23" s="1"/>
  <c r="Q12" i="8"/>
  <c r="Q12" i="23" s="1"/>
  <c r="Q64" i="23" s="1"/>
  <c r="Q30" i="8"/>
  <c r="Q30" i="23" s="1"/>
  <c r="Q82" i="23" s="1"/>
  <c r="U5" i="8"/>
  <c r="T5" i="23" s="1"/>
  <c r="T57" i="23" s="1"/>
  <c r="U48" i="8"/>
  <c r="T48" i="23" s="1"/>
  <c r="T100" i="23" s="1"/>
  <c r="AI5" i="8"/>
  <c r="AE5" i="23" s="1"/>
  <c r="AE57" i="23" s="1"/>
  <c r="AI26" i="8"/>
  <c r="AE26" i="23" s="1"/>
  <c r="AE78" i="23" s="1"/>
  <c r="AI22" i="8"/>
  <c r="AE22" i="23" s="1"/>
  <c r="AE74" i="23" s="1"/>
  <c r="AI28" i="8"/>
  <c r="AE28" i="23" s="1"/>
  <c r="AE80" i="23" s="1"/>
  <c r="AI37" i="8"/>
  <c r="AE37" i="23" s="1"/>
  <c r="AE89" i="23" s="1"/>
  <c r="AH12" i="8"/>
  <c r="AD12" i="23" s="1"/>
  <c r="AD64" i="23" s="1"/>
  <c r="AH9" i="8"/>
  <c r="AD9" i="23" s="1"/>
  <c r="AD61" i="23" s="1"/>
  <c r="AH48" i="8"/>
  <c r="AD48" i="23" s="1"/>
  <c r="AD100" i="23" s="1"/>
  <c r="AH37" i="8"/>
  <c r="AD37" i="23" s="1"/>
  <c r="AD89" i="23" s="1"/>
  <c r="AH41" i="8"/>
  <c r="AD41" i="23" s="1"/>
  <c r="AD93" i="23" s="1"/>
  <c r="X29" i="8"/>
  <c r="W29" i="23" s="1"/>
  <c r="W81" i="23" s="1"/>
  <c r="X16" i="8"/>
  <c r="W37" i="8"/>
  <c r="V37" i="23" s="1"/>
  <c r="V89" i="23" s="1"/>
  <c r="W29" i="8"/>
  <c r="V29" i="23" s="1"/>
  <c r="V81" i="23" s="1"/>
  <c r="W42" i="8"/>
  <c r="V42" i="23" s="1"/>
  <c r="V94" i="23" s="1"/>
  <c r="W51" i="8"/>
  <c r="V51" i="23" s="1"/>
  <c r="V103" i="23" s="1"/>
  <c r="W14" i="8"/>
  <c r="V14" i="23" s="1"/>
  <c r="V66" i="23" s="1"/>
  <c r="AC51" i="8"/>
  <c r="AC39" i="8"/>
  <c r="M32" i="8"/>
  <c r="M32" i="23" s="1"/>
  <c r="M84" i="23" s="1"/>
  <c r="M32" i="9"/>
  <c r="W20" i="11"/>
  <c r="S5" i="12"/>
  <c r="S43" i="12" s="1"/>
  <c r="R43" i="12"/>
  <c r="W36" i="11"/>
  <c r="T37" i="12"/>
  <c r="W37" i="12" s="1"/>
  <c r="T37" i="13"/>
  <c r="T14" i="12"/>
  <c r="R14" i="24" s="1"/>
  <c r="R56" i="24" s="1"/>
  <c r="T14" i="13"/>
  <c r="T40" i="12"/>
  <c r="W40" i="12" s="1"/>
  <c r="T40" i="13"/>
  <c r="T22" i="12"/>
  <c r="W22" i="12" s="1"/>
  <c r="T22" i="13"/>
  <c r="W22" i="13" s="1"/>
  <c r="W22" i="11"/>
  <c r="T34" i="12"/>
  <c r="T34" i="13"/>
  <c r="W34" i="13" s="1"/>
  <c r="W34" i="11"/>
  <c r="T28" i="12"/>
  <c r="W28" i="12" s="1"/>
  <c r="T28" i="13"/>
  <c r="T33" i="12"/>
  <c r="W33" i="12" s="1"/>
  <c r="T33" i="13"/>
  <c r="W33" i="13" s="1"/>
  <c r="T10" i="12"/>
  <c r="W10" i="12" s="1"/>
  <c r="T10" i="13"/>
  <c r="T9" i="12"/>
  <c r="W9" i="12" s="1"/>
  <c r="T9" i="13"/>
  <c r="W9" i="13" s="1"/>
  <c r="T15" i="12"/>
  <c r="R15" i="24" s="1"/>
  <c r="R57" i="24" s="1"/>
  <c r="W15" i="11"/>
  <c r="T15" i="13"/>
  <c r="Y25" i="7"/>
  <c r="Y17" i="7"/>
  <c r="Y13" i="7"/>
  <c r="Y9" i="7"/>
  <c r="Y5" i="7"/>
  <c r="Y18" i="7"/>
  <c r="Y14" i="7"/>
  <c r="Y10" i="7"/>
  <c r="Y6" i="7"/>
  <c r="Y48" i="7"/>
  <c r="Y31" i="7"/>
  <c r="Y16" i="7"/>
  <c r="Y8" i="7"/>
  <c r="Y23" i="7"/>
  <c r="Y15" i="7"/>
  <c r="Y7" i="7"/>
  <c r="Y27" i="7"/>
  <c r="Y35" i="7"/>
  <c r="Y20" i="7"/>
  <c r="Y12" i="7"/>
  <c r="Y19" i="7"/>
  <c r="Y11" i="7"/>
  <c r="Y33" i="7"/>
  <c r="Y44" i="7"/>
  <c r="Y38" i="7"/>
  <c r="Y45" i="7"/>
  <c r="Y34" i="7"/>
  <c r="Y39" i="7"/>
  <c r="Y50" i="7"/>
  <c r="Y29" i="7"/>
  <c r="Y28" i="7"/>
  <c r="Y36" i="7"/>
  <c r="Y42" i="7"/>
  <c r="Y43" i="7"/>
  <c r="Y40" i="7"/>
  <c r="Y41" i="7"/>
  <c r="Y26" i="7"/>
  <c r="Y47" i="7"/>
  <c r="Y24" i="7"/>
  <c r="Y49" i="7"/>
  <c r="Y51" i="7"/>
  <c r="Y46" i="7"/>
  <c r="Y30" i="7"/>
  <c r="Y22" i="7"/>
  <c r="Y32" i="7"/>
  <c r="Y37" i="7"/>
  <c r="Y21" i="7"/>
  <c r="L30" i="12"/>
  <c r="L30" i="24" s="1"/>
  <c r="L72" i="24" s="1"/>
  <c r="L30" i="13"/>
  <c r="Q30" i="13" s="1"/>
  <c r="L19" i="12"/>
  <c r="Q19" i="12" s="1"/>
  <c r="L19" i="13"/>
  <c r="L20" i="12"/>
  <c r="L20" i="24" s="1"/>
  <c r="L62" i="24" s="1"/>
  <c r="L20" i="13"/>
  <c r="Q20" i="13" s="1"/>
  <c r="L33" i="12"/>
  <c r="L33" i="24" s="1"/>
  <c r="L75" i="24" s="1"/>
  <c r="L33" i="13"/>
  <c r="L38" i="12"/>
  <c r="L38" i="13"/>
  <c r="L27" i="12"/>
  <c r="L27" i="24" s="1"/>
  <c r="L69" i="24" s="1"/>
  <c r="L27" i="13"/>
  <c r="L18" i="12"/>
  <c r="L18" i="24" s="1"/>
  <c r="L60" i="24" s="1"/>
  <c r="L18" i="13"/>
  <c r="Q18" i="13" s="1"/>
  <c r="L5" i="12"/>
  <c r="L5" i="24" s="1"/>
  <c r="L47" i="24" s="1"/>
  <c r="L5" i="13"/>
  <c r="L43" i="11"/>
  <c r="L9" i="12"/>
  <c r="L9" i="13"/>
  <c r="Q9" i="13" s="1"/>
  <c r="F10" i="5"/>
  <c r="F47" i="5" s="1"/>
  <c r="N58" i="6"/>
  <c r="E10" i="5"/>
  <c r="N57" i="6"/>
  <c r="D47" i="5"/>
  <c r="D29" i="5"/>
  <c r="F11" i="26" l="1"/>
  <c r="F7" i="26"/>
  <c r="F13" i="26" s="1"/>
  <c r="F9" i="26"/>
  <c r="M14" i="25"/>
  <c r="M15" i="25"/>
  <c r="L14" i="26"/>
  <c r="L15" i="26"/>
  <c r="B11" i="26"/>
  <c r="B9" i="26"/>
  <c r="J11" i="26"/>
  <c r="J9" i="26"/>
  <c r="AB26" i="7"/>
  <c r="X53" i="8"/>
  <c r="W16" i="23"/>
  <c r="W68" i="23" s="1"/>
  <c r="AB23" i="11"/>
  <c r="T9" i="25"/>
  <c r="T11" i="25"/>
  <c r="T7" i="25"/>
  <c r="T13" i="25" s="1"/>
  <c r="G9" i="25"/>
  <c r="G7" i="25"/>
  <c r="G13" i="25" s="1"/>
  <c r="G11" i="25"/>
  <c r="AD7" i="8"/>
  <c r="AA7" i="23"/>
  <c r="AA59" i="23" s="1"/>
  <c r="AD33" i="8"/>
  <c r="AA33" i="23"/>
  <c r="AA85" i="23" s="1"/>
  <c r="AD41" i="8"/>
  <c r="AA41" i="23"/>
  <c r="AA93" i="23" s="1"/>
  <c r="AD30" i="8"/>
  <c r="AA30" i="23"/>
  <c r="AA82" i="23" s="1"/>
  <c r="AD23" i="8"/>
  <c r="AA23" i="23"/>
  <c r="AA75" i="23" s="1"/>
  <c r="O43" i="12"/>
  <c r="AD46" i="8"/>
  <c r="AA46" i="23"/>
  <c r="AA98" i="23" s="1"/>
  <c r="L40" i="24"/>
  <c r="L82" i="24" s="1"/>
  <c r="R22" i="24"/>
  <c r="R64" i="24" s="1"/>
  <c r="R8" i="24"/>
  <c r="R50" i="24" s="1"/>
  <c r="G9" i="26"/>
  <c r="AB5" i="7"/>
  <c r="AD14" i="8"/>
  <c r="AA14" i="23"/>
  <c r="AA66" i="23" s="1"/>
  <c r="D9" i="26"/>
  <c r="D11" i="26"/>
  <c r="D7" i="26"/>
  <c r="D13" i="26" s="1"/>
  <c r="W23" i="13"/>
  <c r="AD25" i="8"/>
  <c r="AA25" i="23"/>
  <c r="AA77" i="23" s="1"/>
  <c r="AD27" i="8"/>
  <c r="AA27" i="23"/>
  <c r="AA79" i="23" s="1"/>
  <c r="AD50" i="8"/>
  <c r="AA50" i="23"/>
  <c r="AA102" i="23" s="1"/>
  <c r="AD44" i="8"/>
  <c r="AA44" i="23"/>
  <c r="AA96" i="23" s="1"/>
  <c r="V22" i="24"/>
  <c r="V64" i="24" s="1"/>
  <c r="V7" i="24"/>
  <c r="V49" i="24" s="1"/>
  <c r="R36" i="24"/>
  <c r="R78" i="24" s="1"/>
  <c r="M6" i="24"/>
  <c r="M48" i="24" s="1"/>
  <c r="C9" i="26" s="1"/>
  <c r="AD36" i="8"/>
  <c r="AA36" i="23"/>
  <c r="AA88" i="23" s="1"/>
  <c r="AD12" i="8"/>
  <c r="AA12" i="23"/>
  <c r="AA64" i="23" s="1"/>
  <c r="F29" i="5"/>
  <c r="AD19" i="8"/>
  <c r="AA19" i="23"/>
  <c r="AA71" i="23" s="1"/>
  <c r="AD17" i="8"/>
  <c r="AA17" i="23"/>
  <c r="AA69" i="23" s="1"/>
  <c r="AD35" i="8"/>
  <c r="AA35" i="23"/>
  <c r="AA87" i="23" s="1"/>
  <c r="R9" i="24"/>
  <c r="R51" i="24" s="1"/>
  <c r="R13" i="24"/>
  <c r="R55" i="24" s="1"/>
  <c r="V37" i="24"/>
  <c r="V79" i="24" s="1"/>
  <c r="V23" i="24"/>
  <c r="V65" i="24" s="1"/>
  <c r="L11" i="26"/>
  <c r="W34" i="12"/>
  <c r="AD39" i="8"/>
  <c r="AA39" i="23"/>
  <c r="AA91" i="23" s="1"/>
  <c r="Q27" i="12"/>
  <c r="AD51" i="8"/>
  <c r="AA51" i="23"/>
  <c r="AA103" i="23" s="1"/>
  <c r="Q9" i="12"/>
  <c r="AB42" i="7"/>
  <c r="U9" i="25"/>
  <c r="U11" i="25"/>
  <c r="U7" i="25"/>
  <c r="U13" i="25" s="1"/>
  <c r="Q28" i="13"/>
  <c r="AD6" i="8"/>
  <c r="AA6" i="23"/>
  <c r="AA58" i="23" s="1"/>
  <c r="AD18" i="8"/>
  <c r="AA18" i="23"/>
  <c r="AA70" i="23" s="1"/>
  <c r="R33" i="24"/>
  <c r="R75" i="24" s="1"/>
  <c r="F9" i="25"/>
  <c r="F7" i="25"/>
  <c r="F13" i="25" s="1"/>
  <c r="F11" i="25"/>
  <c r="V25" i="24"/>
  <c r="V67" i="24" s="1"/>
  <c r="E9" i="26"/>
  <c r="E11" i="26"/>
  <c r="E7" i="26"/>
  <c r="E13" i="26" s="1"/>
  <c r="R27" i="24"/>
  <c r="R69" i="24" s="1"/>
  <c r="AB48" i="7"/>
  <c r="AD48" i="8"/>
  <c r="AA48" i="23"/>
  <c r="AA100" i="23" s="1"/>
  <c r="AD28" i="8"/>
  <c r="AA28" i="23"/>
  <c r="AA80" i="23" s="1"/>
  <c r="AD16" i="8"/>
  <c r="AA16" i="23"/>
  <c r="AA68" i="23" s="1"/>
  <c r="AD21" i="8"/>
  <c r="AA21" i="23"/>
  <c r="AA73" i="23" s="1"/>
  <c r="O43" i="13"/>
  <c r="V32" i="24"/>
  <c r="V74" i="24" s="1"/>
  <c r="R34" i="24"/>
  <c r="R76" i="24" s="1"/>
  <c r="V17" i="24"/>
  <c r="V59" i="24" s="1"/>
  <c r="L7" i="26" s="1"/>
  <c r="L13" i="26" s="1"/>
  <c r="R23" i="24"/>
  <c r="R65" i="24" s="1"/>
  <c r="L19" i="24"/>
  <c r="L61" i="24" s="1"/>
  <c r="R11" i="24"/>
  <c r="R53" i="24" s="1"/>
  <c r="H7" i="26" s="1"/>
  <c r="H13" i="26" s="1"/>
  <c r="M7" i="25"/>
  <c r="M13" i="25" s="1"/>
  <c r="AB50" i="7"/>
  <c r="AD11" i="8"/>
  <c r="AA11" i="23"/>
  <c r="AA63" i="23" s="1"/>
  <c r="H11" i="26"/>
  <c r="H9" i="26"/>
  <c r="AD24" i="8"/>
  <c r="AA24" i="23"/>
  <c r="AA76" i="23" s="1"/>
  <c r="L9" i="25"/>
  <c r="L11" i="25"/>
  <c r="L7" i="25"/>
  <c r="L13" i="25" s="1"/>
  <c r="W6" i="12"/>
  <c r="AD15" i="8"/>
  <c r="AA15" i="23"/>
  <c r="AA67" i="23" s="1"/>
  <c r="AD26" i="8"/>
  <c r="AA26" i="23"/>
  <c r="AA78" i="23" s="1"/>
  <c r="AD22" i="8"/>
  <c r="AA22" i="23"/>
  <c r="AA74" i="23" s="1"/>
  <c r="AD20" i="8"/>
  <c r="AA20" i="23"/>
  <c r="AA72" i="23" s="1"/>
  <c r="AD9" i="8"/>
  <c r="AA9" i="23"/>
  <c r="AA61" i="23" s="1"/>
  <c r="L9" i="24"/>
  <c r="L51" i="24" s="1"/>
  <c r="B7" i="26" s="1"/>
  <c r="B13" i="26" s="1"/>
  <c r="R40" i="24"/>
  <c r="R82" i="24" s="1"/>
  <c r="B7" i="25"/>
  <c r="B13" i="25" s="1"/>
  <c r="B11" i="25"/>
  <c r="B9" i="25"/>
  <c r="V28" i="24"/>
  <c r="V70" i="24" s="1"/>
  <c r="E9" i="25"/>
  <c r="E11" i="25"/>
  <c r="E7" i="25"/>
  <c r="E13" i="25" s="1"/>
  <c r="O26" i="24"/>
  <c r="O68" i="24" s="1"/>
  <c r="M11" i="25"/>
  <c r="AB24" i="7"/>
  <c r="AB14" i="7"/>
  <c r="J9" i="25"/>
  <c r="J7" i="25"/>
  <c r="J13" i="25" s="1"/>
  <c r="J11" i="25"/>
  <c r="Q33" i="12"/>
  <c r="W15" i="12"/>
  <c r="W27" i="13"/>
  <c r="AD47" i="8"/>
  <c r="AA47" i="23"/>
  <c r="AA99" i="23" s="1"/>
  <c r="AD8" i="8"/>
  <c r="AA8" i="23"/>
  <c r="AA60" i="23" s="1"/>
  <c r="Q9" i="25" s="1"/>
  <c r="AD49" i="8"/>
  <c r="AA49" i="23"/>
  <c r="AA101" i="23" s="1"/>
  <c r="AD32" i="8"/>
  <c r="AA32" i="23"/>
  <c r="AA84" i="23" s="1"/>
  <c r="AD40" i="8"/>
  <c r="AA40" i="23"/>
  <c r="AA92" i="23" s="1"/>
  <c r="AD29" i="8"/>
  <c r="AA29" i="23"/>
  <c r="AA81" i="23" s="1"/>
  <c r="R37" i="24"/>
  <c r="R79" i="24" s="1"/>
  <c r="M24" i="24"/>
  <c r="M66" i="24" s="1"/>
  <c r="T20" i="24"/>
  <c r="T62" i="24" s="1"/>
  <c r="J7" i="26" s="1"/>
  <c r="J13" i="26" s="1"/>
  <c r="R10" i="24"/>
  <c r="R52" i="24" s="1"/>
  <c r="L23" i="24"/>
  <c r="L65" i="24" s="1"/>
  <c r="W14" i="13"/>
  <c r="L53" i="8"/>
  <c r="W12" i="12"/>
  <c r="Q10" i="12"/>
  <c r="AB6" i="11"/>
  <c r="AB37" i="11"/>
  <c r="V30" i="8"/>
  <c r="U30" i="23" s="1"/>
  <c r="U82" i="23" s="1"/>
  <c r="V18" i="8"/>
  <c r="U18" i="23" s="1"/>
  <c r="U70" i="23" s="1"/>
  <c r="V33" i="8"/>
  <c r="U33" i="23" s="1"/>
  <c r="U85" i="23" s="1"/>
  <c r="V7" i="8"/>
  <c r="U7" i="23" s="1"/>
  <c r="U59" i="23" s="1"/>
  <c r="V8" i="8"/>
  <c r="U8" i="23" s="1"/>
  <c r="U60" i="23" s="1"/>
  <c r="W16" i="12"/>
  <c r="AB18" i="11"/>
  <c r="Q12" i="13"/>
  <c r="V45" i="8"/>
  <c r="U45" i="23" s="1"/>
  <c r="U97" i="23" s="1"/>
  <c r="V39" i="8"/>
  <c r="U39" i="23" s="1"/>
  <c r="U91" i="23" s="1"/>
  <c r="V50" i="8"/>
  <c r="U50" i="23" s="1"/>
  <c r="U102" i="23" s="1"/>
  <c r="V23" i="8"/>
  <c r="U23" i="23" s="1"/>
  <c r="U75" i="23" s="1"/>
  <c r="V24" i="8"/>
  <c r="U24" i="23" s="1"/>
  <c r="U76" i="23" s="1"/>
  <c r="P53" i="8"/>
  <c r="V5" i="8"/>
  <c r="U5" i="23" s="1"/>
  <c r="U57" i="23" s="1"/>
  <c r="W15" i="13"/>
  <c r="W14" i="12"/>
  <c r="Q27" i="13"/>
  <c r="Q33" i="13"/>
  <c r="Q19" i="13"/>
  <c r="W10" i="13"/>
  <c r="W28" i="13"/>
  <c r="W40" i="13"/>
  <c r="W37" i="13"/>
  <c r="AB10" i="11"/>
  <c r="Q23" i="13"/>
  <c r="AB27" i="11"/>
  <c r="X27" i="13" s="1"/>
  <c r="O53" i="8"/>
  <c r="AB30" i="11"/>
  <c r="Z43" i="13"/>
  <c r="AB33" i="11"/>
  <c r="W26" i="12"/>
  <c r="W21" i="13"/>
  <c r="AA43" i="13"/>
  <c r="T58" i="6"/>
  <c r="T56" i="9"/>
  <c r="T56" i="8"/>
  <c r="T56" i="7"/>
  <c r="Y22" i="9"/>
  <c r="AB22" i="9" s="1"/>
  <c r="AB22" i="7"/>
  <c r="Y49" i="9"/>
  <c r="AB49" i="9" s="1"/>
  <c r="Y41" i="9"/>
  <c r="AB41" i="9" s="1"/>
  <c r="Y36" i="9"/>
  <c r="AB36" i="9" s="1"/>
  <c r="AB36" i="7"/>
  <c r="Y39" i="9"/>
  <c r="AB39" i="9" s="1"/>
  <c r="Y44" i="9"/>
  <c r="AB44" i="9" s="1"/>
  <c r="Y12" i="9"/>
  <c r="AB12" i="9" s="1"/>
  <c r="AB12" i="7"/>
  <c r="Y7" i="9"/>
  <c r="AB7" i="9" s="1"/>
  <c r="Y16" i="9"/>
  <c r="AB16" i="9" s="1"/>
  <c r="Y10" i="9"/>
  <c r="AB10" i="9" s="1"/>
  <c r="Y9" i="9"/>
  <c r="AB9" i="9" s="1"/>
  <c r="X10" i="13"/>
  <c r="AB36" i="11"/>
  <c r="X38" i="13"/>
  <c r="AB10" i="7"/>
  <c r="Q31" i="12"/>
  <c r="W7" i="13"/>
  <c r="X23" i="13"/>
  <c r="W38" i="12"/>
  <c r="W35" i="13"/>
  <c r="M43" i="12"/>
  <c r="AB24" i="11"/>
  <c r="Q30" i="12"/>
  <c r="X28" i="13"/>
  <c r="AH53" i="8"/>
  <c r="V51" i="8"/>
  <c r="U51" i="23" s="1"/>
  <c r="U103" i="23" s="1"/>
  <c r="V28" i="8"/>
  <c r="U28" i="23" s="1"/>
  <c r="U80" i="23" s="1"/>
  <c r="V14" i="8"/>
  <c r="U14" i="23" s="1"/>
  <c r="U66" i="23" s="1"/>
  <c r="V31" i="8"/>
  <c r="U31" i="23" s="1"/>
  <c r="U83" i="23" s="1"/>
  <c r="V44" i="8"/>
  <c r="U44" i="23" s="1"/>
  <c r="U96" i="23" s="1"/>
  <c r="V25" i="8"/>
  <c r="U25" i="23" s="1"/>
  <c r="U77" i="23" s="1"/>
  <c r="Q45" i="13"/>
  <c r="Q45" i="12"/>
  <c r="Q45" i="10"/>
  <c r="Q45" i="11"/>
  <c r="Q15" i="12"/>
  <c r="Q29" i="12"/>
  <c r="Q13" i="12"/>
  <c r="W6" i="13"/>
  <c r="W19" i="12"/>
  <c r="W16" i="13"/>
  <c r="AB22" i="11"/>
  <c r="X18" i="13"/>
  <c r="V43" i="12"/>
  <c r="V34" i="8"/>
  <c r="U34" i="23" s="1"/>
  <c r="U86" i="23" s="1"/>
  <c r="V26" i="8"/>
  <c r="U26" i="23" s="1"/>
  <c r="U78" i="23" s="1"/>
  <c r="V46" i="8"/>
  <c r="U46" i="23" s="1"/>
  <c r="U98" i="23" s="1"/>
  <c r="V15" i="8"/>
  <c r="U15" i="23" s="1"/>
  <c r="U67" i="23" s="1"/>
  <c r="V16" i="8"/>
  <c r="U16" i="23" s="1"/>
  <c r="U68" i="23" s="1"/>
  <c r="V17" i="8"/>
  <c r="U17" i="23" s="1"/>
  <c r="U69" i="23" s="1"/>
  <c r="Q29" i="13"/>
  <c r="Q6" i="13"/>
  <c r="Q37" i="13"/>
  <c r="Q36" i="13"/>
  <c r="Q41" i="13"/>
  <c r="W39" i="13"/>
  <c r="W18" i="12"/>
  <c r="W20" i="13"/>
  <c r="W26" i="13"/>
  <c r="M33" i="8"/>
  <c r="M33" i="23" s="1"/>
  <c r="M85" i="23" s="1"/>
  <c r="Q26" i="12"/>
  <c r="AB12" i="11"/>
  <c r="AB34" i="11"/>
  <c r="M28" i="8"/>
  <c r="M28" i="23" s="1"/>
  <c r="M80" i="23" s="1"/>
  <c r="M9" i="8"/>
  <c r="M9" i="23" s="1"/>
  <c r="M61" i="23" s="1"/>
  <c r="V32" i="8"/>
  <c r="U32" i="23" s="1"/>
  <c r="U84" i="23" s="1"/>
  <c r="V22" i="8"/>
  <c r="U22" i="23" s="1"/>
  <c r="U74" i="23" s="1"/>
  <c r="V35" i="8"/>
  <c r="U35" i="23" s="1"/>
  <c r="U87" i="23" s="1"/>
  <c r="V11" i="8"/>
  <c r="U11" i="23" s="1"/>
  <c r="U63" i="23" s="1"/>
  <c r="V12" i="8"/>
  <c r="U12" i="23" s="1"/>
  <c r="U64" i="23" s="1"/>
  <c r="V21" i="8"/>
  <c r="U21" i="23" s="1"/>
  <c r="U73" i="23" s="1"/>
  <c r="AB39" i="7"/>
  <c r="T57" i="6"/>
  <c r="T55" i="9"/>
  <c r="T55" i="8"/>
  <c r="T55" i="7"/>
  <c r="AM58" i="6"/>
  <c r="AM56" i="9"/>
  <c r="AM56" i="8"/>
  <c r="AM56" i="7"/>
  <c r="L43" i="13"/>
  <c r="Y21" i="9"/>
  <c r="AB21" i="9" s="1"/>
  <c r="Y30" i="9"/>
  <c r="AB30" i="9" s="1"/>
  <c r="AB30" i="7"/>
  <c r="Y24" i="9"/>
  <c r="AB24" i="9" s="1"/>
  <c r="Y40" i="9"/>
  <c r="AB40" i="9" s="1"/>
  <c r="Y28" i="9"/>
  <c r="AB28" i="9" s="1"/>
  <c r="Y34" i="9"/>
  <c r="AB34" i="9" s="1"/>
  <c r="Y33" i="9"/>
  <c r="AB33" i="9" s="1"/>
  <c r="Y20" i="9"/>
  <c r="AB20" i="9" s="1"/>
  <c r="Y15" i="9"/>
  <c r="AB15" i="9" s="1"/>
  <c r="Y31" i="9"/>
  <c r="AB31" i="9" s="1"/>
  <c r="Y14" i="9"/>
  <c r="AB14" i="9" s="1"/>
  <c r="Y13" i="9"/>
  <c r="AB13" i="9" s="1"/>
  <c r="AB21" i="7"/>
  <c r="AI53" i="8"/>
  <c r="U53" i="8"/>
  <c r="Q20" i="12"/>
  <c r="X25" i="13"/>
  <c r="Q21" i="13"/>
  <c r="Q26" i="13"/>
  <c r="W7" i="12"/>
  <c r="W29" i="13"/>
  <c r="W35" i="12"/>
  <c r="AB40" i="7"/>
  <c r="X9" i="13"/>
  <c r="AB5" i="11"/>
  <c r="Q43" i="11"/>
  <c r="Q11" i="13"/>
  <c r="Q7" i="13"/>
  <c r="Q16" i="13"/>
  <c r="Q17" i="13"/>
  <c r="W5" i="13"/>
  <c r="T43" i="13"/>
  <c r="W41" i="13"/>
  <c r="W31" i="13"/>
  <c r="N43" i="13"/>
  <c r="AB40" i="11"/>
  <c r="X33" i="13"/>
  <c r="M23" i="8"/>
  <c r="M23" i="23" s="1"/>
  <c r="M75" i="23" s="1"/>
  <c r="M53" i="9"/>
  <c r="W43" i="11"/>
  <c r="P43" i="12"/>
  <c r="M18" i="8"/>
  <c r="M18" i="23" s="1"/>
  <c r="M70" i="23" s="1"/>
  <c r="M20" i="8"/>
  <c r="M20" i="23" s="1"/>
  <c r="M72" i="23" s="1"/>
  <c r="Q37" i="12"/>
  <c r="Q36" i="12"/>
  <c r="Q41" i="12"/>
  <c r="W32" i="13"/>
  <c r="W39" i="12"/>
  <c r="M51" i="8"/>
  <c r="M51" i="23" s="1"/>
  <c r="M103" i="23" s="1"/>
  <c r="X26" i="13"/>
  <c r="X11" i="13"/>
  <c r="Q32" i="12"/>
  <c r="V53" i="9"/>
  <c r="Q8" i="13"/>
  <c r="Q32" i="13"/>
  <c r="AB15" i="7"/>
  <c r="AB31" i="7"/>
  <c r="Y46" i="9"/>
  <c r="AB46" i="9" s="1"/>
  <c r="AB46" i="7"/>
  <c r="Y47" i="9"/>
  <c r="AB47" i="9" s="1"/>
  <c r="Y29" i="9"/>
  <c r="AB29" i="9" s="1"/>
  <c r="AB29" i="7"/>
  <c r="Y45" i="9"/>
  <c r="AB45" i="9" s="1"/>
  <c r="AB45" i="7"/>
  <c r="Y11" i="9"/>
  <c r="AB11" i="9" s="1"/>
  <c r="Y35" i="9"/>
  <c r="AB35" i="9" s="1"/>
  <c r="AB35" i="7"/>
  <c r="Y23" i="9"/>
  <c r="AB23" i="9" s="1"/>
  <c r="Y48" i="9"/>
  <c r="AB48" i="9" s="1"/>
  <c r="Y18" i="9"/>
  <c r="AB18" i="9" s="1"/>
  <c r="AB18" i="7"/>
  <c r="Y17" i="9"/>
  <c r="AB17" i="9" s="1"/>
  <c r="AB17" i="7"/>
  <c r="AB20" i="11"/>
  <c r="X31" i="13"/>
  <c r="AB13" i="7"/>
  <c r="S46" i="8"/>
  <c r="S44" i="8"/>
  <c r="S49" i="8"/>
  <c r="S17" i="8"/>
  <c r="S11" i="8"/>
  <c r="S27" i="8"/>
  <c r="S37" i="8"/>
  <c r="S40" i="8"/>
  <c r="S50" i="8"/>
  <c r="S9" i="8"/>
  <c r="S42" i="8"/>
  <c r="S38" i="8"/>
  <c r="S30" i="8"/>
  <c r="S6" i="8"/>
  <c r="S12" i="8"/>
  <c r="S23" i="8"/>
  <c r="S33" i="8"/>
  <c r="S41" i="8"/>
  <c r="S32" i="8"/>
  <c r="S13" i="8"/>
  <c r="S47" i="8"/>
  <c r="S16" i="8"/>
  <c r="S25" i="8"/>
  <c r="S5" i="8"/>
  <c r="S24" i="8"/>
  <c r="S19" i="8"/>
  <c r="S10" i="8"/>
  <c r="S22" i="8"/>
  <c r="S7" i="8"/>
  <c r="S35" i="8"/>
  <c r="S45" i="8"/>
  <c r="S31" i="8"/>
  <c r="S43" i="8"/>
  <c r="S39" i="8"/>
  <c r="S18" i="8"/>
  <c r="S14" i="8"/>
  <c r="S20" i="8"/>
  <c r="S15" i="8"/>
  <c r="S21" i="8"/>
  <c r="S8" i="8"/>
  <c r="S26" i="8"/>
  <c r="S28" i="8"/>
  <c r="S34" i="8"/>
  <c r="S48" i="8"/>
  <c r="S36" i="8"/>
  <c r="S51" i="8"/>
  <c r="S29" i="8"/>
  <c r="Q35" i="12"/>
  <c r="W29" i="12"/>
  <c r="X13" i="13"/>
  <c r="Q16" i="12"/>
  <c r="W53" i="8"/>
  <c r="V36" i="8"/>
  <c r="U36" i="23" s="1"/>
  <c r="U88" i="23" s="1"/>
  <c r="V37" i="8"/>
  <c r="U37" i="23" s="1"/>
  <c r="U89" i="23" s="1"/>
  <c r="V48" i="8"/>
  <c r="U48" i="23" s="1"/>
  <c r="U100" i="23" s="1"/>
  <c r="V19" i="8"/>
  <c r="U19" i="23" s="1"/>
  <c r="U71" i="23" s="1"/>
  <c r="V20" i="8"/>
  <c r="U20" i="23" s="1"/>
  <c r="U72" i="23" s="1"/>
  <c r="V38" i="8"/>
  <c r="U38" i="23" s="1"/>
  <c r="U90" i="23" s="1"/>
  <c r="Q53" i="8"/>
  <c r="Q7" i="12"/>
  <c r="Q11" i="12"/>
  <c r="Q17" i="12"/>
  <c r="Q21" i="12"/>
  <c r="X19" i="13"/>
  <c r="W41" i="12"/>
  <c r="AD5" i="8"/>
  <c r="AC53" i="8"/>
  <c r="Q8" i="12"/>
  <c r="AB15" i="11"/>
  <c r="Q14" i="12"/>
  <c r="AB34" i="7"/>
  <c r="M37" i="8"/>
  <c r="M37" i="23" s="1"/>
  <c r="M89" i="23" s="1"/>
  <c r="M5" i="8"/>
  <c r="M5" i="23" s="1"/>
  <c r="M57" i="23" s="1"/>
  <c r="V43" i="13"/>
  <c r="V49" i="8"/>
  <c r="U49" i="23" s="1"/>
  <c r="U101" i="23" s="1"/>
  <c r="V43" i="8"/>
  <c r="U43" i="23" s="1"/>
  <c r="U95" i="23" s="1"/>
  <c r="V10" i="8"/>
  <c r="U10" i="23" s="1"/>
  <c r="U62" i="23" s="1"/>
  <c r="V29" i="8"/>
  <c r="U29" i="23" s="1"/>
  <c r="U81" i="23" s="1"/>
  <c r="V42" i="8"/>
  <c r="U42" i="23" s="1"/>
  <c r="U94" i="23" s="1"/>
  <c r="V9" i="8"/>
  <c r="U9" i="23" s="1"/>
  <c r="U61" i="23" s="1"/>
  <c r="Q14" i="13"/>
  <c r="M46" i="8"/>
  <c r="M46" i="23" s="1"/>
  <c r="M98" i="23" s="1"/>
  <c r="M26" i="8"/>
  <c r="M26" i="23" s="1"/>
  <c r="M78" i="23" s="1"/>
  <c r="Q10" i="13"/>
  <c r="Q25" i="13"/>
  <c r="Q22" i="13"/>
  <c r="Q39" i="13"/>
  <c r="W12" i="13"/>
  <c r="W32" i="12"/>
  <c r="W25" i="13"/>
  <c r="W17" i="13"/>
  <c r="M44" i="8"/>
  <c r="M44" i="23" s="1"/>
  <c r="M96" i="23" s="1"/>
  <c r="AB7" i="11"/>
  <c r="AB21" i="11"/>
  <c r="AB32" i="11"/>
  <c r="M42" i="8"/>
  <c r="M42" i="23" s="1"/>
  <c r="M94" i="23" s="1"/>
  <c r="M41" i="8"/>
  <c r="M41" i="23" s="1"/>
  <c r="M93" i="23" s="1"/>
  <c r="M16" i="8"/>
  <c r="M16" i="23" s="1"/>
  <c r="M68" i="23" s="1"/>
  <c r="V47" i="8"/>
  <c r="U47" i="23" s="1"/>
  <c r="U99" i="23" s="1"/>
  <c r="V41" i="8"/>
  <c r="U41" i="23" s="1"/>
  <c r="U93" i="23" s="1"/>
  <c r="V6" i="8"/>
  <c r="U6" i="23" s="1"/>
  <c r="U58" i="23" s="1"/>
  <c r="V27" i="8"/>
  <c r="U27" i="23" s="1"/>
  <c r="U79" i="23" s="1"/>
  <c r="V40" i="8"/>
  <c r="U40" i="23" s="1"/>
  <c r="U92" i="23" s="1"/>
  <c r="AB16" i="7"/>
  <c r="AB23" i="7"/>
  <c r="AB28" i="7"/>
  <c r="AB20" i="7"/>
  <c r="Q5" i="12"/>
  <c r="L43" i="12"/>
  <c r="Y37" i="9"/>
  <c r="AB37" i="9" s="1"/>
  <c r="Y43" i="9"/>
  <c r="AB43" i="9" s="1"/>
  <c r="AB43" i="7"/>
  <c r="AM56" i="6"/>
  <c r="AM54" i="9"/>
  <c r="AM54" i="7"/>
  <c r="AM54" i="8" s="1"/>
  <c r="Y32" i="9"/>
  <c r="AB32" i="9" s="1"/>
  <c r="Y51" i="9"/>
  <c r="AB51" i="9" s="1"/>
  <c r="AB51" i="7"/>
  <c r="Y26" i="9"/>
  <c r="AB26" i="9" s="1"/>
  <c r="Y42" i="9"/>
  <c r="AB42" i="9" s="1"/>
  <c r="Y50" i="9"/>
  <c r="AB50" i="9" s="1"/>
  <c r="Y38" i="9"/>
  <c r="AB38" i="9" s="1"/>
  <c r="AB38" i="7"/>
  <c r="Y19" i="9"/>
  <c r="AB19" i="9" s="1"/>
  <c r="AB19" i="7"/>
  <c r="Y27" i="9"/>
  <c r="AB27" i="9" s="1"/>
  <c r="Y8" i="9"/>
  <c r="AB8" i="9" s="1"/>
  <c r="AB8" i="7"/>
  <c r="Y6" i="9"/>
  <c r="Y5" i="9"/>
  <c r="AB5" i="9" s="1"/>
  <c r="Y53" i="7"/>
  <c r="Y58" i="7" s="1"/>
  <c r="Y41" i="8" s="1"/>
  <c r="X41" i="23" s="1"/>
  <c r="X93" i="23" s="1"/>
  <c r="Y25" i="9"/>
  <c r="AB25" i="9" s="1"/>
  <c r="AB47" i="7"/>
  <c r="X6" i="13"/>
  <c r="AB29" i="11"/>
  <c r="Q38" i="12"/>
  <c r="X37" i="13"/>
  <c r="AB9" i="7"/>
  <c r="AB33" i="7"/>
  <c r="AB44" i="7"/>
  <c r="R46" i="8"/>
  <c r="R46" i="23" s="1"/>
  <c r="R98" i="23" s="1"/>
  <c r="R41" i="8"/>
  <c r="R41" i="23" s="1"/>
  <c r="R93" i="23" s="1"/>
  <c r="R32" i="8"/>
  <c r="R32" i="23" s="1"/>
  <c r="R84" i="23" s="1"/>
  <c r="R13" i="8"/>
  <c r="R13" i="23" s="1"/>
  <c r="R65" i="23" s="1"/>
  <c r="R47" i="8"/>
  <c r="R47" i="23" s="1"/>
  <c r="R99" i="23" s="1"/>
  <c r="R16" i="8"/>
  <c r="R16" i="23" s="1"/>
  <c r="R68" i="23" s="1"/>
  <c r="R25" i="8"/>
  <c r="R25" i="23" s="1"/>
  <c r="R77" i="23" s="1"/>
  <c r="R5" i="8"/>
  <c r="R5" i="23" s="1"/>
  <c r="R57" i="23" s="1"/>
  <c r="R10" i="8"/>
  <c r="R10" i="23" s="1"/>
  <c r="R62" i="23" s="1"/>
  <c r="R28" i="8"/>
  <c r="R6" i="8"/>
  <c r="R6" i="23" s="1"/>
  <c r="R58" i="23" s="1"/>
  <c r="R22" i="8"/>
  <c r="R12" i="8"/>
  <c r="R12" i="23" s="1"/>
  <c r="R64" i="23" s="1"/>
  <c r="R7" i="8"/>
  <c r="R7" i="23" s="1"/>
  <c r="R59" i="23" s="1"/>
  <c r="R23" i="8"/>
  <c r="R42" i="8"/>
  <c r="R42" i="23" s="1"/>
  <c r="R94" i="23" s="1"/>
  <c r="R30" i="8"/>
  <c r="R30" i="23" s="1"/>
  <c r="R82" i="23" s="1"/>
  <c r="R44" i="8"/>
  <c r="R44" i="23" s="1"/>
  <c r="R96" i="23" s="1"/>
  <c r="R49" i="8"/>
  <c r="R49" i="23" s="1"/>
  <c r="R101" i="23" s="1"/>
  <c r="R17" i="8"/>
  <c r="R17" i="23" s="1"/>
  <c r="R69" i="23" s="1"/>
  <c r="R11" i="8"/>
  <c r="R11" i="23" s="1"/>
  <c r="R63" i="23" s="1"/>
  <c r="R27" i="8"/>
  <c r="R45" i="8"/>
  <c r="R45" i="23" s="1"/>
  <c r="R97" i="23" s="1"/>
  <c r="R37" i="8"/>
  <c r="R37" i="23" s="1"/>
  <c r="R89" i="23" s="1"/>
  <c r="R40" i="8"/>
  <c r="R40" i="23" s="1"/>
  <c r="R92" i="23" s="1"/>
  <c r="R50" i="8"/>
  <c r="R50" i="23" s="1"/>
  <c r="R102" i="23" s="1"/>
  <c r="R9" i="8"/>
  <c r="R9" i="23" s="1"/>
  <c r="R61" i="23" s="1"/>
  <c r="R21" i="8"/>
  <c r="R8" i="8"/>
  <c r="R8" i="23" s="1"/>
  <c r="R60" i="23" s="1"/>
  <c r="R26" i="8"/>
  <c r="R38" i="8"/>
  <c r="R38" i="23" s="1"/>
  <c r="R90" i="23" s="1"/>
  <c r="R34" i="8"/>
  <c r="R34" i="23" s="1"/>
  <c r="R86" i="23" s="1"/>
  <c r="R33" i="8"/>
  <c r="R33" i="23" s="1"/>
  <c r="R85" i="23" s="1"/>
  <c r="R48" i="8"/>
  <c r="R48" i="23" s="1"/>
  <c r="R100" i="23" s="1"/>
  <c r="R36" i="8"/>
  <c r="R36" i="23" s="1"/>
  <c r="R88" i="23" s="1"/>
  <c r="R51" i="8"/>
  <c r="R51" i="23" s="1"/>
  <c r="R103" i="23" s="1"/>
  <c r="R29" i="8"/>
  <c r="R24" i="8"/>
  <c r="R19" i="8"/>
  <c r="R19" i="23" s="1"/>
  <c r="R71" i="23" s="1"/>
  <c r="R35" i="8"/>
  <c r="R35" i="23" s="1"/>
  <c r="R87" i="23" s="1"/>
  <c r="R31" i="8"/>
  <c r="R31" i="23" s="1"/>
  <c r="R83" i="23" s="1"/>
  <c r="R43" i="8"/>
  <c r="R43" i="23" s="1"/>
  <c r="R95" i="23" s="1"/>
  <c r="R39" i="8"/>
  <c r="R39" i="23" s="1"/>
  <c r="R91" i="23" s="1"/>
  <c r="R18" i="8"/>
  <c r="R18" i="23" s="1"/>
  <c r="R70" i="23" s="1"/>
  <c r="R14" i="8"/>
  <c r="R14" i="23" s="1"/>
  <c r="R66" i="23" s="1"/>
  <c r="R20" i="8"/>
  <c r="R20" i="23" s="1"/>
  <c r="R72" i="23" s="1"/>
  <c r="R15" i="8"/>
  <c r="R15" i="23" s="1"/>
  <c r="R67" i="23" s="1"/>
  <c r="Q38" i="13"/>
  <c r="Q31" i="13"/>
  <c r="W21" i="12"/>
  <c r="W38" i="13"/>
  <c r="AB35" i="11"/>
  <c r="M43" i="13"/>
  <c r="X41" i="13"/>
  <c r="Q28" i="12"/>
  <c r="AB16" i="11"/>
  <c r="AB49" i="7"/>
  <c r="Q35" i="13"/>
  <c r="F46" i="5"/>
  <c r="Q46" i="13"/>
  <c r="Q46" i="12"/>
  <c r="Q46" i="10"/>
  <c r="Q46" i="11"/>
  <c r="Q15" i="13"/>
  <c r="Q24" i="13"/>
  <c r="Q13" i="13"/>
  <c r="W5" i="12"/>
  <c r="T43" i="12"/>
  <c r="W19" i="13"/>
  <c r="W31" i="12"/>
  <c r="N43" i="12"/>
  <c r="X8" i="13"/>
  <c r="Q22" i="12"/>
  <c r="AB14" i="11"/>
  <c r="Q18" i="12"/>
  <c r="AB17" i="11"/>
  <c r="AB6" i="7"/>
  <c r="M15" i="8"/>
  <c r="M15" i="23" s="1"/>
  <c r="M67" i="23" s="1"/>
  <c r="Q5" i="13"/>
  <c r="P43" i="13"/>
  <c r="M43" i="8"/>
  <c r="M43" i="23" s="1"/>
  <c r="M95" i="23" s="1"/>
  <c r="Q25" i="12"/>
  <c r="Q39" i="12"/>
  <c r="AB39" i="11"/>
  <c r="W18" i="13"/>
  <c r="W25" i="12"/>
  <c r="W17" i="12"/>
  <c r="AB32" i="7"/>
  <c r="Q12" i="12"/>
  <c r="Q34" i="12"/>
  <c r="AB11" i="7"/>
  <c r="AB27" i="7"/>
  <c r="AB41" i="7"/>
  <c r="AB7" i="7"/>
  <c r="AB37" i="7"/>
  <c r="AB25" i="7"/>
  <c r="E42" i="5"/>
  <c r="E21" i="5"/>
  <c r="Q14" i="25" l="1"/>
  <c r="Q15" i="25"/>
  <c r="C14" i="26"/>
  <c r="C15" i="26"/>
  <c r="F15" i="25"/>
  <c r="F14" i="25"/>
  <c r="E15" i="25"/>
  <c r="E14" i="25"/>
  <c r="AD53" i="8"/>
  <c r="Q7" i="25"/>
  <c r="Q13" i="25" s="1"/>
  <c r="J15" i="25"/>
  <c r="J14" i="25"/>
  <c r="B15" i="25"/>
  <c r="B14" i="25"/>
  <c r="U14" i="25"/>
  <c r="U15" i="25"/>
  <c r="D15" i="26"/>
  <c r="D14" i="26"/>
  <c r="G15" i="25"/>
  <c r="G14" i="25"/>
  <c r="C7" i="25"/>
  <c r="C13" i="25" s="1"/>
  <c r="C11" i="25"/>
  <c r="C9" i="25"/>
  <c r="Q11" i="25"/>
  <c r="C7" i="26"/>
  <c r="C13" i="26" s="1"/>
  <c r="L14" i="25"/>
  <c r="L15" i="25"/>
  <c r="E14" i="26"/>
  <c r="E15" i="26"/>
  <c r="C11" i="26"/>
  <c r="H9" i="25"/>
  <c r="H7" i="25"/>
  <c r="H13" i="25" s="1"/>
  <c r="H11" i="25"/>
  <c r="J15" i="26"/>
  <c r="J14" i="26"/>
  <c r="T14" i="25"/>
  <c r="T15" i="25"/>
  <c r="F14" i="26"/>
  <c r="F15" i="26"/>
  <c r="X30" i="13"/>
  <c r="Y30" i="13" s="1"/>
  <c r="AB30" i="13" s="1"/>
  <c r="S24" i="28" s="1"/>
  <c r="K9" i="25"/>
  <c r="K11" i="25"/>
  <c r="K7" i="25"/>
  <c r="K13" i="25" s="1"/>
  <c r="B15" i="26"/>
  <c r="B14" i="26"/>
  <c r="H14" i="26"/>
  <c r="H15" i="26"/>
  <c r="G14" i="26"/>
  <c r="G15" i="26"/>
  <c r="Y37" i="13"/>
  <c r="Y8" i="13"/>
  <c r="AB8" i="13" s="1"/>
  <c r="S6" i="28" s="1"/>
  <c r="Y19" i="13"/>
  <c r="AB19" i="13" s="1"/>
  <c r="Y28" i="13"/>
  <c r="AB28" i="13" s="1"/>
  <c r="S22" i="28" s="1"/>
  <c r="Y10" i="13"/>
  <c r="Y33" i="13"/>
  <c r="AB33" i="13" s="1"/>
  <c r="Y31" i="13"/>
  <c r="AB31" i="13" s="1"/>
  <c r="Y11" i="13"/>
  <c r="AB11" i="13" s="1"/>
  <c r="S11" i="28" s="1"/>
  <c r="Y9" i="13"/>
  <c r="AB9" i="13" s="1"/>
  <c r="S7" i="28" s="1"/>
  <c r="Y25" i="13"/>
  <c r="AB25" i="13" s="1"/>
  <c r="S18" i="28" s="1"/>
  <c r="Y18" i="13"/>
  <c r="AB18" i="13" s="1"/>
  <c r="Y41" i="13"/>
  <c r="AB41" i="13" s="1"/>
  <c r="S33" i="28" s="1"/>
  <c r="Y6" i="13"/>
  <c r="Y13" i="13"/>
  <c r="AB13" i="13" s="1"/>
  <c r="Y26" i="13"/>
  <c r="AB26" i="13" s="1"/>
  <c r="S19" i="28" s="1"/>
  <c r="Y27" i="13"/>
  <c r="AB27" i="13" s="1"/>
  <c r="Y23" i="13"/>
  <c r="AB23" i="13" s="1"/>
  <c r="Y38" i="13"/>
  <c r="AB38" i="13" s="1"/>
  <c r="S31" i="28" s="1"/>
  <c r="Y50" i="8"/>
  <c r="Y27" i="8"/>
  <c r="X27" i="23" s="1"/>
  <c r="X79" i="23" s="1"/>
  <c r="AB53" i="7"/>
  <c r="Y26" i="8"/>
  <c r="X26" i="23" s="1"/>
  <c r="X78" i="23" s="1"/>
  <c r="AB10" i="13"/>
  <c r="S9" i="28" s="1"/>
  <c r="X17" i="13"/>
  <c r="X29" i="13"/>
  <c r="Q43" i="12"/>
  <c r="X7" i="13"/>
  <c r="M53" i="8"/>
  <c r="X15" i="13"/>
  <c r="X20" i="13"/>
  <c r="Y17" i="8"/>
  <c r="X17" i="23" s="1"/>
  <c r="X69" i="23" s="1"/>
  <c r="Y11" i="8"/>
  <c r="Y47" i="8"/>
  <c r="X47" i="23" s="1"/>
  <c r="X99" i="23" s="1"/>
  <c r="W43" i="13"/>
  <c r="X5" i="13"/>
  <c r="AB43" i="11"/>
  <c r="Y30" i="8"/>
  <c r="X34" i="13"/>
  <c r="X22" i="13"/>
  <c r="Y44" i="8"/>
  <c r="Y22" i="8"/>
  <c r="Q43" i="13"/>
  <c r="X16" i="13"/>
  <c r="Y5" i="8"/>
  <c r="X5" i="23" s="1"/>
  <c r="X57" i="23" s="1"/>
  <c r="Y32" i="8"/>
  <c r="X32" i="23" s="1"/>
  <c r="X84" i="23" s="1"/>
  <c r="Y37" i="8"/>
  <c r="AB41" i="8"/>
  <c r="V53" i="8"/>
  <c r="S53" i="8"/>
  <c r="Y48" i="8"/>
  <c r="Y14" i="8"/>
  <c r="X14" i="23" s="1"/>
  <c r="X66" i="23" s="1"/>
  <c r="Y15" i="8"/>
  <c r="Y33" i="8"/>
  <c r="Y28" i="8"/>
  <c r="X28" i="23" s="1"/>
  <c r="X80" i="23" s="1"/>
  <c r="Y24" i="8"/>
  <c r="AB32" i="8"/>
  <c r="X12" i="13"/>
  <c r="X24" i="13"/>
  <c r="X36" i="13"/>
  <c r="Y9" i="8"/>
  <c r="Y16" i="8"/>
  <c r="X16" i="23" s="1"/>
  <c r="X68" i="23" s="1"/>
  <c r="Y36" i="8"/>
  <c r="Y49" i="8"/>
  <c r="AE55" i="9"/>
  <c r="AE55" i="8"/>
  <c r="AO54" i="8" s="1"/>
  <c r="AE55" i="7"/>
  <c r="X14" i="13"/>
  <c r="W43" i="12"/>
  <c r="AB46" i="13"/>
  <c r="AB46" i="12"/>
  <c r="AB46" i="11"/>
  <c r="AB46" i="10"/>
  <c r="R53" i="8"/>
  <c r="S58" i="8" s="1"/>
  <c r="Y25" i="8"/>
  <c r="X25" i="23" s="1"/>
  <c r="X77" i="23" s="1"/>
  <c r="Y53" i="9"/>
  <c r="AB6" i="9"/>
  <c r="AB53" i="9" s="1"/>
  <c r="Y8" i="8"/>
  <c r="Y38" i="8"/>
  <c r="Y42" i="8"/>
  <c r="AB47" i="8"/>
  <c r="X32" i="13"/>
  <c r="Y35" i="8"/>
  <c r="Y29" i="8"/>
  <c r="Y21" i="8"/>
  <c r="AB37" i="13"/>
  <c r="S29" i="28" s="1"/>
  <c r="AB17" i="8"/>
  <c r="AB14" i="8"/>
  <c r="Y12" i="8"/>
  <c r="Y39" i="8"/>
  <c r="X39" i="13"/>
  <c r="E43" i="5"/>
  <c r="X45" i="13"/>
  <c r="X45" i="12"/>
  <c r="X45" i="11"/>
  <c r="X48" i="11" s="1"/>
  <c r="X7" i="12" s="1"/>
  <c r="Y7" i="12" s="1"/>
  <c r="AB7" i="12" s="1"/>
  <c r="X45" i="10"/>
  <c r="X35" i="12"/>
  <c r="Y35" i="12" s="1"/>
  <c r="AB35" i="12" s="1"/>
  <c r="X35" i="13"/>
  <c r="Y6" i="8"/>
  <c r="Y19" i="8"/>
  <c r="Y51" i="8"/>
  <c r="Y43" i="8"/>
  <c r="AB27" i="8"/>
  <c r="X21" i="13"/>
  <c r="Y18" i="8"/>
  <c r="Y23" i="8"/>
  <c r="Y45" i="8"/>
  <c r="Y46" i="8"/>
  <c r="X40" i="13"/>
  <c r="Y13" i="8"/>
  <c r="Y31" i="8"/>
  <c r="Y20" i="8"/>
  <c r="Y34" i="8"/>
  <c r="X34" i="23" s="1"/>
  <c r="X86" i="23" s="1"/>
  <c r="Y40" i="8"/>
  <c r="AB6" i="13"/>
  <c r="AB16" i="8"/>
  <c r="AB25" i="8"/>
  <c r="Y10" i="8"/>
  <c r="Y7" i="8"/>
  <c r="E23" i="5"/>
  <c r="E29" i="5" s="1"/>
  <c r="AE57" i="6"/>
  <c r="E47" i="5"/>
  <c r="G11" i="28" l="1"/>
  <c r="G6" i="28"/>
  <c r="S21" i="28"/>
  <c r="S16" i="28"/>
  <c r="S26" i="28"/>
  <c r="AB7" i="8"/>
  <c r="X7" i="23"/>
  <c r="X59" i="23" s="1"/>
  <c r="AB21" i="8"/>
  <c r="X21" i="23"/>
  <c r="X73" i="23" s="1"/>
  <c r="AB29" i="8"/>
  <c r="X29" i="23"/>
  <c r="X81" i="23" s="1"/>
  <c r="AB46" i="8"/>
  <c r="X46" i="23"/>
  <c r="X98" i="23" s="1"/>
  <c r="AB51" i="8"/>
  <c r="X51" i="23"/>
  <c r="X103" i="23" s="1"/>
  <c r="AB42" i="8"/>
  <c r="X42" i="23"/>
  <c r="X94" i="23" s="1"/>
  <c r="AB44" i="8"/>
  <c r="X44" i="23"/>
  <c r="X96" i="23" s="1"/>
  <c r="AB40" i="8"/>
  <c r="X40" i="23"/>
  <c r="X92" i="23" s="1"/>
  <c r="AB45" i="8"/>
  <c r="X45" i="23"/>
  <c r="X97" i="23" s="1"/>
  <c r="AB19" i="8"/>
  <c r="X19" i="23"/>
  <c r="X71" i="23" s="1"/>
  <c r="AB38" i="8"/>
  <c r="X38" i="23"/>
  <c r="X90" i="23" s="1"/>
  <c r="AB49" i="8"/>
  <c r="X49" i="23"/>
  <c r="X101" i="23" s="1"/>
  <c r="AB24" i="8"/>
  <c r="X24" i="23"/>
  <c r="X76" i="23" s="1"/>
  <c r="C15" i="25"/>
  <c r="C14" i="25"/>
  <c r="AB10" i="8"/>
  <c r="X10" i="23"/>
  <c r="X62" i="23" s="1"/>
  <c r="AB20" i="8"/>
  <c r="X20" i="23"/>
  <c r="X72" i="23" s="1"/>
  <c r="AB18" i="8"/>
  <c r="X18" i="23"/>
  <c r="X70" i="23" s="1"/>
  <c r="X39" i="12"/>
  <c r="Y39" i="12" s="1"/>
  <c r="AB39" i="12" s="1"/>
  <c r="AB33" i="8"/>
  <c r="X33" i="23"/>
  <c r="X85" i="23" s="1"/>
  <c r="AB30" i="8"/>
  <c r="X30" i="23"/>
  <c r="X82" i="23" s="1"/>
  <c r="AB9" i="8"/>
  <c r="X9" i="23"/>
  <c r="X61" i="23" s="1"/>
  <c r="AB15" i="8"/>
  <c r="X15" i="23"/>
  <c r="X67" i="23" s="1"/>
  <c r="K15" i="25"/>
  <c r="K14" i="25"/>
  <c r="AB13" i="8"/>
  <c r="X13" i="23"/>
  <c r="X65" i="23" s="1"/>
  <c r="X21" i="12"/>
  <c r="Y21" i="12" s="1"/>
  <c r="AB21" i="12" s="1"/>
  <c r="AB12" i="8"/>
  <c r="X12" i="23"/>
  <c r="X64" i="23" s="1"/>
  <c r="AB35" i="8"/>
  <c r="X35" i="23"/>
  <c r="X87" i="23" s="1"/>
  <c r="AB8" i="8"/>
  <c r="X8" i="23"/>
  <c r="X60" i="23" s="1"/>
  <c r="N11" i="25" s="1"/>
  <c r="AB36" i="8"/>
  <c r="X36" i="23"/>
  <c r="X88" i="23" s="1"/>
  <c r="AB37" i="8"/>
  <c r="X37" i="23"/>
  <c r="X89" i="23" s="1"/>
  <c r="H15" i="25"/>
  <c r="H14" i="25"/>
  <c r="AB6" i="8"/>
  <c r="X6" i="23"/>
  <c r="X58" i="23" s="1"/>
  <c r="N9" i="25" s="1"/>
  <c r="AB48" i="8"/>
  <c r="X48" i="23"/>
  <c r="X100" i="23" s="1"/>
  <c r="X40" i="12"/>
  <c r="Y40" i="12" s="1"/>
  <c r="AB40" i="12" s="1"/>
  <c r="AB43" i="8"/>
  <c r="X43" i="23"/>
  <c r="X95" i="23" s="1"/>
  <c r="AB26" i="8"/>
  <c r="AB22" i="8"/>
  <c r="X22" i="23"/>
  <c r="X74" i="23" s="1"/>
  <c r="AB50" i="8"/>
  <c r="X50" i="23"/>
  <c r="X102" i="23" s="1"/>
  <c r="AB23" i="8"/>
  <c r="X23" i="23"/>
  <c r="X75" i="23" s="1"/>
  <c r="AB28" i="8"/>
  <c r="AB31" i="8"/>
  <c r="X31" i="23"/>
  <c r="X83" i="23" s="1"/>
  <c r="AB39" i="8"/>
  <c r="X39" i="23"/>
  <c r="X91" i="23" s="1"/>
  <c r="AB34" i="8"/>
  <c r="AB11" i="8"/>
  <c r="X11" i="23"/>
  <c r="X63" i="23" s="1"/>
  <c r="Y12" i="13"/>
  <c r="AB12" i="13" s="1"/>
  <c r="Y15" i="13"/>
  <c r="AB15" i="13" s="1"/>
  <c r="S8" i="28" s="1"/>
  <c r="U15" i="24"/>
  <c r="U57" i="24" s="1"/>
  <c r="Y29" i="13"/>
  <c r="AB29" i="13" s="1"/>
  <c r="S23" i="28" s="1"/>
  <c r="Y22" i="13"/>
  <c r="AB22" i="13" s="1"/>
  <c r="S14" i="28" s="1"/>
  <c r="Y17" i="13"/>
  <c r="AB17" i="13" s="1"/>
  <c r="U17" i="24"/>
  <c r="U59" i="24" s="1"/>
  <c r="Y39" i="13"/>
  <c r="AB39" i="13" s="1"/>
  <c r="S30" i="28" s="1"/>
  <c r="U39" i="24"/>
  <c r="U81" i="24" s="1"/>
  <c r="Y32" i="13"/>
  <c r="AB32" i="13" s="1"/>
  <c r="Y24" i="13"/>
  <c r="AB24" i="13" s="1"/>
  <c r="S17" i="28" s="1"/>
  <c r="Y16" i="13"/>
  <c r="AB16" i="13" s="1"/>
  <c r="S10" i="28" s="1"/>
  <c r="U16" i="24"/>
  <c r="U58" i="24" s="1"/>
  <c r="Y20" i="13"/>
  <c r="AB20" i="13" s="1"/>
  <c r="S12" i="28" s="1"/>
  <c r="Y35" i="13"/>
  <c r="AB35" i="13" s="1"/>
  <c r="S27" i="28" s="1"/>
  <c r="U35" i="24"/>
  <c r="U77" i="24" s="1"/>
  <c r="Y21" i="13"/>
  <c r="AB21" i="13" s="1"/>
  <c r="S13" i="28" s="1"/>
  <c r="U21" i="24"/>
  <c r="U63" i="24" s="1"/>
  <c r="Y40" i="13"/>
  <c r="AB40" i="13" s="1"/>
  <c r="S32" i="28" s="1"/>
  <c r="U40" i="24"/>
  <c r="U82" i="24" s="1"/>
  <c r="Y14" i="13"/>
  <c r="AB14" i="13" s="1"/>
  <c r="Y36" i="13"/>
  <c r="AB36" i="13" s="1"/>
  <c r="S28" i="28" s="1"/>
  <c r="Y34" i="13"/>
  <c r="AB34" i="13" s="1"/>
  <c r="Y7" i="13"/>
  <c r="AB7" i="13" s="1"/>
  <c r="S5" i="28" s="1"/>
  <c r="U7" i="24"/>
  <c r="U49" i="24" s="1"/>
  <c r="AA21" i="17"/>
  <c r="AM57" i="6"/>
  <c r="AM55" i="9"/>
  <c r="AM55" i="8"/>
  <c r="AM55" i="7"/>
  <c r="X24" i="12"/>
  <c r="Y24" i="12" s="1"/>
  <c r="AB24" i="12" s="1"/>
  <c r="X5" i="12"/>
  <c r="U5" i="24" s="1"/>
  <c r="U47" i="24" s="1"/>
  <c r="E46" i="5"/>
  <c r="Y45" i="13"/>
  <c r="Y45" i="12"/>
  <c r="Y45" i="10"/>
  <c r="Y45" i="11"/>
  <c r="X10" i="12"/>
  <c r="X28" i="12"/>
  <c r="X18" i="12"/>
  <c r="X26" i="12"/>
  <c r="X31" i="12"/>
  <c r="X23" i="12"/>
  <c r="X9" i="12"/>
  <c r="X30" i="12"/>
  <c r="X33" i="12"/>
  <c r="X19" i="12"/>
  <c r="X6" i="12"/>
  <c r="X37" i="12"/>
  <c r="X25" i="12"/>
  <c r="X11" i="12"/>
  <c r="X13" i="12"/>
  <c r="X8" i="12"/>
  <c r="X38" i="12"/>
  <c r="X27" i="12"/>
  <c r="X41" i="12"/>
  <c r="X32" i="12"/>
  <c r="Y32" i="12" s="1"/>
  <c r="AB32" i="12" s="1"/>
  <c r="X36" i="12"/>
  <c r="Y36" i="12" s="1"/>
  <c r="AB36" i="12" s="1"/>
  <c r="Y53" i="8"/>
  <c r="AB5" i="8"/>
  <c r="X22" i="12"/>
  <c r="Y22" i="12" s="1"/>
  <c r="AB22" i="12" s="1"/>
  <c r="X20" i="12"/>
  <c r="Y20" i="12" s="1"/>
  <c r="AB20" i="12" s="1"/>
  <c r="X29" i="12"/>
  <c r="Y29" i="12" s="1"/>
  <c r="AB29" i="12" s="1"/>
  <c r="S46" i="9"/>
  <c r="S46" i="23" s="1"/>
  <c r="S98" i="23" s="1"/>
  <c r="S31" i="9"/>
  <c r="S31" i="23" s="1"/>
  <c r="S83" i="23" s="1"/>
  <c r="S43" i="9"/>
  <c r="S43" i="23" s="1"/>
  <c r="S95" i="23" s="1"/>
  <c r="S48" i="9"/>
  <c r="S48" i="23" s="1"/>
  <c r="S100" i="23" s="1"/>
  <c r="S18" i="9"/>
  <c r="S18" i="23" s="1"/>
  <c r="S70" i="23" s="1"/>
  <c r="S36" i="9"/>
  <c r="S36" i="23" s="1"/>
  <c r="S88" i="23" s="1"/>
  <c r="S14" i="9"/>
  <c r="S14" i="23" s="1"/>
  <c r="S66" i="23" s="1"/>
  <c r="S51" i="9"/>
  <c r="S51" i="23" s="1"/>
  <c r="S103" i="23" s="1"/>
  <c r="S20" i="9"/>
  <c r="S20" i="23" s="1"/>
  <c r="S72" i="23" s="1"/>
  <c r="S15" i="9"/>
  <c r="S15" i="23" s="1"/>
  <c r="S67" i="23" s="1"/>
  <c r="S8" i="9"/>
  <c r="S8" i="23" s="1"/>
  <c r="S60" i="23" s="1"/>
  <c r="S19" i="9"/>
  <c r="S19" i="23" s="1"/>
  <c r="S71" i="23" s="1"/>
  <c r="S26" i="9"/>
  <c r="S26" i="23" s="1"/>
  <c r="S78" i="23" s="1"/>
  <c r="S34" i="9"/>
  <c r="S34" i="23" s="1"/>
  <c r="S86" i="23" s="1"/>
  <c r="S35" i="9"/>
  <c r="S35" i="23" s="1"/>
  <c r="S87" i="23" s="1"/>
  <c r="S39" i="9"/>
  <c r="S39" i="23" s="1"/>
  <c r="S91" i="23" s="1"/>
  <c r="S29" i="9"/>
  <c r="S29" i="23" s="1"/>
  <c r="S81" i="23" s="1"/>
  <c r="S42" i="9"/>
  <c r="S42" i="23" s="1"/>
  <c r="S94" i="23" s="1"/>
  <c r="S30" i="9"/>
  <c r="S30" i="23" s="1"/>
  <c r="S82" i="23" s="1"/>
  <c r="S10" i="9"/>
  <c r="S10" i="23" s="1"/>
  <c r="S62" i="23" s="1"/>
  <c r="S28" i="9"/>
  <c r="S28" i="23" s="1"/>
  <c r="S80" i="23" s="1"/>
  <c r="S6" i="9"/>
  <c r="S6" i="23" s="1"/>
  <c r="S58" i="23" s="1"/>
  <c r="S22" i="9"/>
  <c r="S22" i="23" s="1"/>
  <c r="S74" i="23" s="1"/>
  <c r="S12" i="9"/>
  <c r="S12" i="23" s="1"/>
  <c r="S64" i="23" s="1"/>
  <c r="S7" i="9"/>
  <c r="S7" i="23" s="1"/>
  <c r="S59" i="23" s="1"/>
  <c r="S23" i="9"/>
  <c r="S23" i="23" s="1"/>
  <c r="S75" i="23" s="1"/>
  <c r="S38" i="9"/>
  <c r="S38" i="23" s="1"/>
  <c r="S90" i="23" s="1"/>
  <c r="S49" i="9"/>
  <c r="S49" i="23" s="1"/>
  <c r="S101" i="23" s="1"/>
  <c r="S17" i="9"/>
  <c r="S17" i="23" s="1"/>
  <c r="S69" i="23" s="1"/>
  <c r="S32" i="9"/>
  <c r="S32" i="23" s="1"/>
  <c r="S84" i="23" s="1"/>
  <c r="S37" i="9"/>
  <c r="S37" i="23" s="1"/>
  <c r="S89" i="23" s="1"/>
  <c r="S50" i="9"/>
  <c r="S50" i="23" s="1"/>
  <c r="S102" i="23" s="1"/>
  <c r="S9" i="9"/>
  <c r="S9" i="23" s="1"/>
  <c r="S61" i="23" s="1"/>
  <c r="S33" i="9"/>
  <c r="S33" i="23" s="1"/>
  <c r="S85" i="23" s="1"/>
  <c r="S44" i="9"/>
  <c r="S44" i="23" s="1"/>
  <c r="S96" i="23" s="1"/>
  <c r="S41" i="9"/>
  <c r="S41" i="23" s="1"/>
  <c r="S93" i="23" s="1"/>
  <c r="S13" i="9"/>
  <c r="S13" i="23" s="1"/>
  <c r="S65" i="23" s="1"/>
  <c r="S47" i="9"/>
  <c r="S47" i="23" s="1"/>
  <c r="S99" i="23" s="1"/>
  <c r="S16" i="9"/>
  <c r="S16" i="23" s="1"/>
  <c r="S68" i="23" s="1"/>
  <c r="S11" i="9"/>
  <c r="S11" i="23" s="1"/>
  <c r="S63" i="23" s="1"/>
  <c r="S27" i="9"/>
  <c r="S27" i="23" s="1"/>
  <c r="S79" i="23" s="1"/>
  <c r="S45" i="9"/>
  <c r="S45" i="23" s="1"/>
  <c r="S97" i="23" s="1"/>
  <c r="S40" i="9"/>
  <c r="S40" i="23" s="1"/>
  <c r="S92" i="23" s="1"/>
  <c r="S25" i="9"/>
  <c r="S25" i="23" s="1"/>
  <c r="S77" i="23" s="1"/>
  <c r="S5" i="9"/>
  <c r="S5" i="23" s="1"/>
  <c r="S57" i="23" s="1"/>
  <c r="S21" i="9"/>
  <c r="S21" i="23" s="1"/>
  <c r="S73" i="23" s="1"/>
  <c r="S24" i="9"/>
  <c r="S24" i="23" s="1"/>
  <c r="S76" i="23" s="1"/>
  <c r="X12" i="12"/>
  <c r="Y12" i="12" s="1"/>
  <c r="AB12" i="12" s="1"/>
  <c r="AA127" i="16" s="1"/>
  <c r="AG127" i="16" s="1"/>
  <c r="X34" i="12"/>
  <c r="Y34" i="12" s="1"/>
  <c r="AB34" i="12" s="1"/>
  <c r="AG57" i="6"/>
  <c r="AG55" i="9"/>
  <c r="AG55" i="8"/>
  <c r="AG55" i="7"/>
  <c r="X14" i="12"/>
  <c r="Y14" i="12" s="1"/>
  <c r="AB14" i="12" s="1"/>
  <c r="AA53" i="17" s="1"/>
  <c r="X16" i="12"/>
  <c r="Y16" i="12" s="1"/>
  <c r="AB16" i="12" s="1"/>
  <c r="Y5" i="13"/>
  <c r="X43" i="13"/>
  <c r="X15" i="12"/>
  <c r="Y15" i="12" s="1"/>
  <c r="AB15" i="12" s="1"/>
  <c r="X17" i="12"/>
  <c r="Y17" i="12" s="1"/>
  <c r="AB17" i="12" s="1"/>
  <c r="AA388" i="16" l="1"/>
  <c r="S15" i="28"/>
  <c r="S25" i="28"/>
  <c r="S20" i="28"/>
  <c r="AA280" i="16"/>
  <c r="AA387" i="16"/>
  <c r="AA384" i="16"/>
  <c r="N15" i="25"/>
  <c r="N14" i="25"/>
  <c r="Y25" i="12"/>
  <c r="AB25" i="12" s="1"/>
  <c r="U25" i="24"/>
  <c r="U67" i="24" s="1"/>
  <c r="Y31" i="12"/>
  <c r="AB31" i="12" s="1"/>
  <c r="U31" i="24"/>
  <c r="U73" i="24" s="1"/>
  <c r="Y37" i="12"/>
  <c r="AB37" i="12" s="1"/>
  <c r="U37" i="24"/>
  <c r="U79" i="24" s="1"/>
  <c r="Y26" i="12"/>
  <c r="AB26" i="12" s="1"/>
  <c r="U26" i="24"/>
  <c r="U68" i="24" s="1"/>
  <c r="U34" i="24"/>
  <c r="U76" i="24" s="1"/>
  <c r="U24" i="24"/>
  <c r="U66" i="24" s="1"/>
  <c r="U12" i="24"/>
  <c r="U54" i="24" s="1"/>
  <c r="Y41" i="12"/>
  <c r="AB41" i="12" s="1"/>
  <c r="U41" i="24"/>
  <c r="U83" i="24" s="1"/>
  <c r="Y6" i="12"/>
  <c r="AB6" i="12" s="1"/>
  <c r="U6" i="24"/>
  <c r="U48" i="24" s="1"/>
  <c r="K9" i="26" s="1"/>
  <c r="Y18" i="12"/>
  <c r="AB18" i="12" s="1"/>
  <c r="U18" i="24"/>
  <c r="U60" i="24" s="1"/>
  <c r="AA28" i="17"/>
  <c r="N7" i="25"/>
  <c r="N13" i="25" s="1"/>
  <c r="Y23" i="12"/>
  <c r="AB23" i="12" s="1"/>
  <c r="U23" i="24"/>
  <c r="U65" i="24" s="1"/>
  <c r="Y27" i="12"/>
  <c r="AB27" i="12" s="1"/>
  <c r="U27" i="24"/>
  <c r="U69" i="24" s="1"/>
  <c r="Y19" i="12"/>
  <c r="AB19" i="12" s="1"/>
  <c r="U19" i="24"/>
  <c r="U61" i="24" s="1"/>
  <c r="Y28" i="12"/>
  <c r="AB28" i="12" s="1"/>
  <c r="U28" i="24"/>
  <c r="U70" i="24" s="1"/>
  <c r="U36" i="24"/>
  <c r="U78" i="24" s="1"/>
  <c r="U32" i="24"/>
  <c r="U74" i="24" s="1"/>
  <c r="U22" i="24"/>
  <c r="U64" i="24" s="1"/>
  <c r="Y38" i="12"/>
  <c r="AB38" i="12" s="1"/>
  <c r="U38" i="24"/>
  <c r="U80" i="24" s="1"/>
  <c r="Y33" i="12"/>
  <c r="AB33" i="12" s="1"/>
  <c r="U33" i="24"/>
  <c r="U75" i="24" s="1"/>
  <c r="Y10" i="12"/>
  <c r="AB10" i="12" s="1"/>
  <c r="U10" i="24"/>
  <c r="U52" i="24" s="1"/>
  <c r="Y11" i="12"/>
  <c r="AB11" i="12" s="1"/>
  <c r="U11" i="24"/>
  <c r="U53" i="24" s="1"/>
  <c r="Y8" i="12"/>
  <c r="AB8" i="12" s="1"/>
  <c r="U8" i="24"/>
  <c r="U50" i="24" s="1"/>
  <c r="Y30" i="12"/>
  <c r="AB30" i="12" s="1"/>
  <c r="U30" i="24"/>
  <c r="U72" i="24" s="1"/>
  <c r="U14" i="24"/>
  <c r="U56" i="24" s="1"/>
  <c r="U20" i="24"/>
  <c r="U62" i="24" s="1"/>
  <c r="U29" i="24"/>
  <c r="U71" i="24" s="1"/>
  <c r="I9" i="25"/>
  <c r="I7" i="25"/>
  <c r="I13" i="25" s="1"/>
  <c r="I11" i="25"/>
  <c r="AB53" i="8"/>
  <c r="Y13" i="12"/>
  <c r="AB13" i="12" s="1"/>
  <c r="U13" i="24"/>
  <c r="U55" i="24" s="1"/>
  <c r="Y9" i="12"/>
  <c r="AB9" i="12" s="1"/>
  <c r="U9" i="24"/>
  <c r="U51" i="24" s="1"/>
  <c r="AA56" i="17"/>
  <c r="AA382" i="16"/>
  <c r="AA279" i="16"/>
  <c r="AG279" i="16" s="1"/>
  <c r="AA380" i="16"/>
  <c r="AA285" i="16"/>
  <c r="AG285" i="16" s="1"/>
  <c r="AA156" i="16"/>
  <c r="AG156" i="16" s="1"/>
  <c r="AA273" i="16"/>
  <c r="L273" i="21" s="1"/>
  <c r="O273" i="21" s="1"/>
  <c r="AA45" i="17"/>
  <c r="AA289" i="16"/>
  <c r="AG289" i="16" s="1"/>
  <c r="AA272" i="16"/>
  <c r="AG272" i="16" s="1"/>
  <c r="AA49" i="17"/>
  <c r="AA284" i="16"/>
  <c r="AA290" i="16"/>
  <c r="AG290" i="16" s="1"/>
  <c r="AA153" i="16"/>
  <c r="AG153" i="16" s="1"/>
  <c r="AA150" i="16"/>
  <c r="AG150" i="16" s="1"/>
  <c r="AA155" i="16"/>
  <c r="AG155" i="16" s="1"/>
  <c r="AA119" i="16"/>
  <c r="AG119" i="16" s="1"/>
  <c r="AA25" i="17"/>
  <c r="AA154" i="16"/>
  <c r="AG154" i="16" s="1"/>
  <c r="AA160" i="16"/>
  <c r="AG160" i="16" s="1"/>
  <c r="AA54" i="17"/>
  <c r="AA126" i="16"/>
  <c r="AG126" i="16" s="1"/>
  <c r="AA158" i="16"/>
  <c r="AG158" i="16" s="1"/>
  <c r="AA55" i="17"/>
  <c r="AA157" i="16"/>
  <c r="AG157" i="16" s="1"/>
  <c r="AA159" i="16"/>
  <c r="AG159" i="16" s="1"/>
  <c r="AA46" i="17"/>
  <c r="AA50" i="17"/>
  <c r="AA147" i="16"/>
  <c r="L156" i="21" s="1"/>
  <c r="O156" i="21" s="1"/>
  <c r="AA148" i="16"/>
  <c r="AG148" i="16" s="1"/>
  <c r="AA43" i="17"/>
  <c r="AA47" i="17"/>
  <c r="AA51" i="17"/>
  <c r="AA120" i="16"/>
  <c r="AG120" i="16" s="1"/>
  <c r="AA17" i="17"/>
  <c r="AA276" i="16"/>
  <c r="AG276" i="16" s="1"/>
  <c r="AA270" i="16"/>
  <c r="AG270" i="16" s="1"/>
  <c r="AA149" i="16"/>
  <c r="AG149" i="16" s="1"/>
  <c r="AA151" i="16"/>
  <c r="AG151" i="16" s="1"/>
  <c r="AA152" i="16"/>
  <c r="AG152" i="16" s="1"/>
  <c r="AA44" i="17"/>
  <c r="AA48" i="17"/>
  <c r="AA52" i="17"/>
  <c r="AA391" i="16"/>
  <c r="AG391" i="16" s="1"/>
  <c r="AA288" i="16"/>
  <c r="AG288" i="16" s="1"/>
  <c r="AA291" i="16"/>
  <c r="AG291" i="16" s="1"/>
  <c r="AA125" i="16"/>
  <c r="AG125" i="16" s="1"/>
  <c r="AA132" i="16"/>
  <c r="AG132" i="16" s="1"/>
  <c r="AA124" i="16"/>
  <c r="AG124" i="16" s="1"/>
  <c r="AA130" i="16"/>
  <c r="AG130" i="16" s="1"/>
  <c r="AA18" i="17"/>
  <c r="AA22" i="17"/>
  <c r="AA26" i="17"/>
  <c r="AA131" i="16"/>
  <c r="AG131" i="16" s="1"/>
  <c r="AA123" i="16"/>
  <c r="AG123" i="16" s="1"/>
  <c r="AA129" i="16"/>
  <c r="AG129" i="16" s="1"/>
  <c r="AA15" i="17"/>
  <c r="AA19" i="17"/>
  <c r="AA23" i="17"/>
  <c r="AA27" i="17"/>
  <c r="AA271" i="16"/>
  <c r="L271" i="21" s="1"/>
  <c r="O271" i="21" s="1"/>
  <c r="AA269" i="16"/>
  <c r="AG269" i="16" s="1"/>
  <c r="AA274" i="16"/>
  <c r="AG274" i="16" s="1"/>
  <c r="AA383" i="16"/>
  <c r="AG383" i="16" s="1"/>
  <c r="AA385" i="16"/>
  <c r="L385" i="21" s="1"/>
  <c r="O385" i="21" s="1"/>
  <c r="AA386" i="16"/>
  <c r="AG386" i="16" s="1"/>
  <c r="AA281" i="16"/>
  <c r="AG281" i="16" s="1"/>
  <c r="AA292" i="16"/>
  <c r="AG292" i="16" s="1"/>
  <c r="AA282" i="16"/>
  <c r="AG282" i="16" s="1"/>
  <c r="AA121" i="16"/>
  <c r="AG121" i="16" s="1"/>
  <c r="AA128" i="16"/>
  <c r="AG128" i="16" s="1"/>
  <c r="AA122" i="16"/>
  <c r="AG122" i="16" s="1"/>
  <c r="AA16" i="17"/>
  <c r="AA20" i="17"/>
  <c r="AA24" i="17"/>
  <c r="AA277" i="16"/>
  <c r="AG277" i="16" s="1"/>
  <c r="AA275" i="16"/>
  <c r="AG275" i="16" s="1"/>
  <c r="AA278" i="16"/>
  <c r="L278" i="21" s="1"/>
  <c r="O278" i="21" s="1"/>
  <c r="AA389" i="16"/>
  <c r="AG389" i="16" s="1"/>
  <c r="AA381" i="16"/>
  <c r="L381" i="21" s="1"/>
  <c r="O381" i="21" s="1"/>
  <c r="AA390" i="16"/>
  <c r="L390" i="21" s="1"/>
  <c r="O390" i="21" s="1"/>
  <c r="AA283" i="16"/>
  <c r="AG283" i="16" s="1"/>
  <c r="AA287" i="16"/>
  <c r="AG287" i="16" s="1"/>
  <c r="AA286" i="16"/>
  <c r="AG286" i="16" s="1"/>
  <c r="AG388" i="16"/>
  <c r="L388" i="21"/>
  <c r="O388" i="21" s="1"/>
  <c r="AG382" i="16"/>
  <c r="L382" i="21"/>
  <c r="O382" i="21" s="1"/>
  <c r="AG271" i="16"/>
  <c r="L144" i="21"/>
  <c r="L159" i="21"/>
  <c r="L143" i="21"/>
  <c r="L111" i="21"/>
  <c r="L112" i="21"/>
  <c r="AG284" i="16"/>
  <c r="L284" i="21"/>
  <c r="O284" i="21" s="1"/>
  <c r="L291" i="21"/>
  <c r="O291" i="21" s="1"/>
  <c r="AG280" i="16"/>
  <c r="L280" i="21"/>
  <c r="O280" i="21" s="1"/>
  <c r="AG380" i="16"/>
  <c r="L380" i="21"/>
  <c r="AG384" i="16"/>
  <c r="L384" i="21"/>
  <c r="O384" i="21" s="1"/>
  <c r="AG387" i="16"/>
  <c r="L387" i="21"/>
  <c r="O387" i="21" s="1"/>
  <c r="S53" i="9"/>
  <c r="AB45" i="12"/>
  <c r="AB45" i="13"/>
  <c r="AB45" i="10"/>
  <c r="AB45" i="11"/>
  <c r="Y5" i="12"/>
  <c r="X43" i="12"/>
  <c r="Y43" i="13"/>
  <c r="AB5" i="13"/>
  <c r="AG385" i="16" l="1"/>
  <c r="L288" i="21"/>
  <c r="O288" i="21" s="1"/>
  <c r="L160" i="21"/>
  <c r="L127" i="21"/>
  <c r="O127" i="21" s="1"/>
  <c r="AG390" i="16"/>
  <c r="L279" i="21"/>
  <c r="O279" i="21" s="1"/>
  <c r="L289" i="21"/>
  <c r="O289" i="21" s="1"/>
  <c r="G10" i="28"/>
  <c r="G5" i="28"/>
  <c r="L276" i="21"/>
  <c r="O276" i="21" s="1"/>
  <c r="AG278" i="16"/>
  <c r="L286" i="21"/>
  <c r="O286" i="21" s="1"/>
  <c r="L292" i="21"/>
  <c r="O292" i="21" s="1"/>
  <c r="AG273" i="16"/>
  <c r="L285" i="21"/>
  <c r="O285" i="21" s="1"/>
  <c r="O159" i="21"/>
  <c r="L287" i="21"/>
  <c r="O287" i="21" s="1"/>
  <c r="K7" i="26"/>
  <c r="M7" i="26" s="1"/>
  <c r="M13" i="26" s="1"/>
  <c r="L269" i="21"/>
  <c r="O269" i="21" s="1"/>
  <c r="L274" i="21"/>
  <c r="O274" i="21" s="1"/>
  <c r="M9" i="26"/>
  <c r="K15" i="26"/>
  <c r="K14" i="26"/>
  <c r="I14" i="25"/>
  <c r="I15" i="25"/>
  <c r="AG381" i="16"/>
  <c r="AA13" i="17"/>
  <c r="AA5" i="17"/>
  <c r="AA117" i="16"/>
  <c r="AG117" i="16" s="1"/>
  <c r="AA12" i="17"/>
  <c r="AA4" i="17"/>
  <c r="AA112" i="16"/>
  <c r="AG112" i="16" s="1"/>
  <c r="AA108" i="16"/>
  <c r="AG108" i="16" s="1"/>
  <c r="AA11" i="17"/>
  <c r="AA3" i="17"/>
  <c r="AA107" i="16"/>
  <c r="AG107" i="16" s="1"/>
  <c r="AA14" i="17"/>
  <c r="AA10" i="17"/>
  <c r="AA118" i="16"/>
  <c r="AG118" i="16" s="1"/>
  <c r="AA116" i="16"/>
  <c r="AG116" i="16" s="1"/>
  <c r="AA9" i="17"/>
  <c r="AA114" i="16"/>
  <c r="AG114" i="16" s="1"/>
  <c r="AA111" i="16"/>
  <c r="AG111" i="16" s="1"/>
  <c r="AA8" i="17"/>
  <c r="AA110" i="16"/>
  <c r="AG110" i="16" s="1"/>
  <c r="AA115" i="16"/>
  <c r="AG115" i="16" s="1"/>
  <c r="AA6" i="17"/>
  <c r="AA7" i="17"/>
  <c r="AA113" i="16"/>
  <c r="AG113" i="16" s="1"/>
  <c r="AA109" i="16"/>
  <c r="AG109" i="16" s="1"/>
  <c r="AA155" i="17"/>
  <c r="AA154" i="17"/>
  <c r="AA153" i="17"/>
  <c r="AA346" i="16"/>
  <c r="AA314" i="16"/>
  <c r="AA355" i="16"/>
  <c r="AA312" i="16"/>
  <c r="AA336" i="16"/>
  <c r="AA356" i="16"/>
  <c r="AA299" i="16"/>
  <c r="AA311" i="16"/>
  <c r="AA303" i="16"/>
  <c r="AA360" i="16"/>
  <c r="AA369" i="16"/>
  <c r="AG369" i="16" s="1"/>
  <c r="AA377" i="16"/>
  <c r="AG377" i="16" s="1"/>
  <c r="AA373" i="16"/>
  <c r="AG373" i="16" s="1"/>
  <c r="AA342" i="16"/>
  <c r="AA310" i="16"/>
  <c r="AA349" i="16"/>
  <c r="AA307" i="16"/>
  <c r="AA329" i="16"/>
  <c r="AA348" i="16"/>
  <c r="AA361" i="16"/>
  <c r="AA304" i="16"/>
  <c r="AA352" i="16"/>
  <c r="AA159" i="17"/>
  <c r="AA157" i="17"/>
  <c r="AA305" i="16"/>
  <c r="AA160" i="17"/>
  <c r="AA164" i="17"/>
  <c r="AA156" i="17"/>
  <c r="AA338" i="16"/>
  <c r="AA306" i="16"/>
  <c r="AA344" i="16"/>
  <c r="AA301" i="16"/>
  <c r="AA321" i="16"/>
  <c r="AA341" i="16"/>
  <c r="AA353" i="16"/>
  <c r="AA297" i="16"/>
  <c r="AA324" i="16"/>
  <c r="AA363" i="16"/>
  <c r="AA378" i="16"/>
  <c r="AG378" i="16" s="1"/>
  <c r="AA379" i="16"/>
  <c r="AG379" i="16" s="1"/>
  <c r="AA376" i="16"/>
  <c r="AG376" i="16" s="1"/>
  <c r="AA366" i="16"/>
  <c r="AA334" i="16"/>
  <c r="AA302" i="16"/>
  <c r="AA339" i="16"/>
  <c r="AA296" i="16"/>
  <c r="AA315" i="16"/>
  <c r="AA335" i="16"/>
  <c r="AA347" i="16"/>
  <c r="AA367" i="16"/>
  <c r="AA295" i="16"/>
  <c r="AA318" i="16"/>
  <c r="AA374" i="16"/>
  <c r="AG374" i="16" s="1"/>
  <c r="AA375" i="16"/>
  <c r="AG375" i="16" s="1"/>
  <c r="AA372" i="16"/>
  <c r="AG372" i="16" s="1"/>
  <c r="AA362" i="16"/>
  <c r="AA330" i="16"/>
  <c r="AA298" i="16"/>
  <c r="AA333" i="16"/>
  <c r="AA364" i="16"/>
  <c r="AA308" i="16"/>
  <c r="AA327" i="16"/>
  <c r="AA340" i="16"/>
  <c r="AA337" i="16"/>
  <c r="AA345" i="16"/>
  <c r="AA343" i="16"/>
  <c r="AA370" i="16"/>
  <c r="AG370" i="16" s="1"/>
  <c r="AA371" i="16"/>
  <c r="AG371" i="16" s="1"/>
  <c r="AA368" i="16"/>
  <c r="AG368" i="16" s="1"/>
  <c r="AA358" i="16"/>
  <c r="AA326" i="16"/>
  <c r="AA294" i="16"/>
  <c r="AA328" i="16"/>
  <c r="AA357" i="16"/>
  <c r="AA300" i="16"/>
  <c r="AA320" i="16"/>
  <c r="AA332" i="16"/>
  <c r="AA309" i="16"/>
  <c r="AA316" i="16"/>
  <c r="AA158" i="17"/>
  <c r="AA350" i="16"/>
  <c r="AA319" i="16"/>
  <c r="AA331" i="16"/>
  <c r="AA163" i="17"/>
  <c r="AA162" i="17"/>
  <c r="AA161" i="17"/>
  <c r="AA354" i="16"/>
  <c r="AA322" i="16"/>
  <c r="AA365" i="16"/>
  <c r="AA323" i="16"/>
  <c r="AA351" i="16"/>
  <c r="AA293" i="16"/>
  <c r="AA313" i="16"/>
  <c r="AA325" i="16"/>
  <c r="AA359" i="16"/>
  <c r="AA317" i="16"/>
  <c r="AA35" i="17"/>
  <c r="AA140" i="16"/>
  <c r="AG140" i="16" s="1"/>
  <c r="AA133" i="16"/>
  <c r="AG133" i="16" s="1"/>
  <c r="AA42" i="17"/>
  <c r="AA34" i="17"/>
  <c r="AA146" i="16"/>
  <c r="AG146" i="16" s="1"/>
  <c r="AA145" i="16"/>
  <c r="AG145" i="16" s="1"/>
  <c r="AA41" i="17"/>
  <c r="AA33" i="17"/>
  <c r="AA142" i="16"/>
  <c r="AG142" i="16" s="1"/>
  <c r="AA137" i="16"/>
  <c r="AG137" i="16" s="1"/>
  <c r="AA139" i="16"/>
  <c r="AG139" i="16" s="1"/>
  <c r="AA40" i="17"/>
  <c r="AA32" i="17"/>
  <c r="AA138" i="16"/>
  <c r="AG138" i="16" s="1"/>
  <c r="AA143" i="16"/>
  <c r="AG143" i="16" s="1"/>
  <c r="AA39" i="17"/>
  <c r="AA31" i="17"/>
  <c r="AA134" i="16"/>
  <c r="AG134" i="16" s="1"/>
  <c r="AA136" i="16"/>
  <c r="AG136" i="16" s="1"/>
  <c r="AA36" i="17"/>
  <c r="AA38" i="17"/>
  <c r="AA30" i="17"/>
  <c r="AA141" i="16"/>
  <c r="AG141" i="16" s="1"/>
  <c r="AA37" i="17"/>
  <c r="AA29" i="17"/>
  <c r="AA135" i="16"/>
  <c r="AG135" i="16" s="1"/>
  <c r="AA144" i="16"/>
  <c r="AG144" i="16" s="1"/>
  <c r="AA45" i="16"/>
  <c r="AA12" i="16"/>
  <c r="AA3" i="16"/>
  <c r="AA41" i="16"/>
  <c r="AA8" i="16"/>
  <c r="AA46" i="16"/>
  <c r="AA13" i="16"/>
  <c r="AA4" i="16"/>
  <c r="AA42" i="16"/>
  <c r="AA9" i="16"/>
  <c r="AA47" i="16"/>
  <c r="AA38" i="16"/>
  <c r="AA40" i="16"/>
  <c r="AA5" i="16"/>
  <c r="AA43" i="16"/>
  <c r="AA10" i="16"/>
  <c r="AA49" i="16"/>
  <c r="AA48" i="16"/>
  <c r="AA39" i="16"/>
  <c r="AA6" i="16"/>
  <c r="AA44" i="16"/>
  <c r="AA11" i="16"/>
  <c r="AA2" i="16"/>
  <c r="AA7" i="16"/>
  <c r="K11" i="26"/>
  <c r="M11" i="26" s="1"/>
  <c r="L290" i="21"/>
  <c r="O290" i="21" s="1"/>
  <c r="AA128" i="17"/>
  <c r="AA96" i="17"/>
  <c r="AA64" i="17"/>
  <c r="AA176" i="16"/>
  <c r="AG176" i="16" s="1"/>
  <c r="AA222" i="16"/>
  <c r="AG222" i="16" s="1"/>
  <c r="AA173" i="16"/>
  <c r="AG173" i="16" s="1"/>
  <c r="AA117" i="17"/>
  <c r="AA251" i="16"/>
  <c r="AG251" i="16" s="1"/>
  <c r="AA225" i="16"/>
  <c r="AG225" i="16" s="1"/>
  <c r="AA131" i="17"/>
  <c r="AA99" i="17"/>
  <c r="AA67" i="17"/>
  <c r="AA188" i="16"/>
  <c r="AG188" i="16" s="1"/>
  <c r="AA237" i="16"/>
  <c r="AG237" i="16" s="1"/>
  <c r="AA221" i="16"/>
  <c r="AG221" i="16" s="1"/>
  <c r="AA150" i="17"/>
  <c r="AA118" i="17"/>
  <c r="AA86" i="17"/>
  <c r="AA244" i="16"/>
  <c r="AG244" i="16" s="1"/>
  <c r="AA223" i="16"/>
  <c r="AG223" i="16" s="1"/>
  <c r="AA182" i="16"/>
  <c r="AG182" i="16" s="1"/>
  <c r="AA141" i="17"/>
  <c r="AA73" i="17"/>
  <c r="AA226" i="16"/>
  <c r="AG226" i="16" s="1"/>
  <c r="AA68" i="17"/>
  <c r="AA61" i="17"/>
  <c r="AA163" i="16"/>
  <c r="AG163" i="16" s="1"/>
  <c r="AA198" i="16"/>
  <c r="AG198" i="16" s="1"/>
  <c r="AA124" i="17"/>
  <c r="AA92" i="17"/>
  <c r="AA60" i="17"/>
  <c r="AA256" i="16"/>
  <c r="AG256" i="16" s="1"/>
  <c r="AA206" i="16"/>
  <c r="AG206" i="16" s="1"/>
  <c r="AA185" i="16"/>
  <c r="AG185" i="16" s="1"/>
  <c r="AA109" i="17"/>
  <c r="AA212" i="16"/>
  <c r="AG212" i="16" s="1"/>
  <c r="AA201" i="16"/>
  <c r="AG201" i="16" s="1"/>
  <c r="AA127" i="17"/>
  <c r="AA95" i="17"/>
  <c r="AA63" i="17"/>
  <c r="AA172" i="16"/>
  <c r="AG172" i="16" s="1"/>
  <c r="AA218" i="16"/>
  <c r="AG218" i="16" s="1"/>
  <c r="AA235" i="16"/>
  <c r="AG235" i="16" s="1"/>
  <c r="AA146" i="17"/>
  <c r="AA114" i="17"/>
  <c r="AA82" i="17"/>
  <c r="AA228" i="16"/>
  <c r="AG228" i="16" s="1"/>
  <c r="AA207" i="16"/>
  <c r="AG207" i="16" s="1"/>
  <c r="AA166" i="16"/>
  <c r="AG166" i="16" s="1"/>
  <c r="AA129" i="17"/>
  <c r="AA65" i="17"/>
  <c r="AA194" i="16"/>
  <c r="AG194" i="16" s="1"/>
  <c r="AA241" i="16"/>
  <c r="AG241" i="16" s="1"/>
  <c r="AA103" i="17"/>
  <c r="AA90" i="17"/>
  <c r="AA81" i="17"/>
  <c r="AA152" i="17"/>
  <c r="AA120" i="17"/>
  <c r="AA88" i="17"/>
  <c r="AA253" i="16"/>
  <c r="AG253" i="16" s="1"/>
  <c r="AA233" i="16"/>
  <c r="AG233" i="16" s="1"/>
  <c r="AA190" i="16"/>
  <c r="AG190" i="16" s="1"/>
  <c r="AA101" i="17"/>
  <c r="AA180" i="16"/>
  <c r="AG180" i="16" s="1"/>
  <c r="AA123" i="17"/>
  <c r="AA91" i="17"/>
  <c r="AA59" i="17"/>
  <c r="AA249" i="16"/>
  <c r="AG249" i="16" s="1"/>
  <c r="AA202" i="16"/>
  <c r="AG202" i="16" s="1"/>
  <c r="AA169" i="16"/>
  <c r="AG169" i="16" s="1"/>
  <c r="AA142" i="17"/>
  <c r="AA110" i="17"/>
  <c r="AA78" i="17"/>
  <c r="AA234" i="16"/>
  <c r="AG234" i="16" s="1"/>
  <c r="AA191" i="16"/>
  <c r="AG191" i="16" s="1"/>
  <c r="AA213" i="16"/>
  <c r="AG213" i="16" s="1"/>
  <c r="AA121" i="17"/>
  <c r="AA240" i="16"/>
  <c r="AG240" i="16" s="1"/>
  <c r="AA197" i="16"/>
  <c r="AG197" i="16" s="1"/>
  <c r="AA242" i="16"/>
  <c r="AG242" i="16" s="1"/>
  <c r="AA71" i="17"/>
  <c r="AA243" i="16"/>
  <c r="AG243" i="16" s="1"/>
  <c r="AA148" i="17"/>
  <c r="AA116" i="17"/>
  <c r="AA84" i="17"/>
  <c r="AA236" i="16"/>
  <c r="AG236" i="16" s="1"/>
  <c r="AA215" i="16"/>
  <c r="AG215" i="16" s="1"/>
  <c r="AA174" i="16"/>
  <c r="AG174" i="16" s="1"/>
  <c r="AA149" i="17"/>
  <c r="AA93" i="17"/>
  <c r="AA238" i="16"/>
  <c r="AG238" i="16" s="1"/>
  <c r="AA151" i="17"/>
  <c r="AA119" i="17"/>
  <c r="AA87" i="17"/>
  <c r="AA248" i="16"/>
  <c r="AG248" i="16" s="1"/>
  <c r="AA227" i="16"/>
  <c r="AG227" i="16" s="1"/>
  <c r="AA186" i="16"/>
  <c r="AG186" i="16" s="1"/>
  <c r="AA57" i="17"/>
  <c r="AA138" i="17"/>
  <c r="AA106" i="17"/>
  <c r="AA74" i="17"/>
  <c r="AA216" i="16"/>
  <c r="AG216" i="16" s="1"/>
  <c r="AA175" i="16"/>
  <c r="AG175" i="16" s="1"/>
  <c r="AA246" i="16"/>
  <c r="AG246" i="16" s="1"/>
  <c r="AA113" i="17"/>
  <c r="AA229" i="16"/>
  <c r="AG229" i="16" s="1"/>
  <c r="AA161" i="16"/>
  <c r="AG161" i="16" s="1"/>
  <c r="AA193" i="16"/>
  <c r="AG193" i="16" s="1"/>
  <c r="AA144" i="17"/>
  <c r="AA112" i="17"/>
  <c r="AA80" i="17"/>
  <c r="AA245" i="16"/>
  <c r="AG245" i="16" s="1"/>
  <c r="AA199" i="16"/>
  <c r="AG199" i="16" s="1"/>
  <c r="AA252" i="16"/>
  <c r="AG252" i="16" s="1"/>
  <c r="AA145" i="17"/>
  <c r="AA85" i="17"/>
  <c r="AA203" i="16"/>
  <c r="AG203" i="16" s="1"/>
  <c r="AA147" i="17"/>
  <c r="AA115" i="17"/>
  <c r="AA83" i="17"/>
  <c r="AA232" i="16"/>
  <c r="AG232" i="16" s="1"/>
  <c r="AA211" i="16"/>
  <c r="AG211" i="16" s="1"/>
  <c r="AA170" i="16"/>
  <c r="AG170" i="16" s="1"/>
  <c r="AA187" i="16"/>
  <c r="AG187" i="16" s="1"/>
  <c r="AA134" i="17"/>
  <c r="AA102" i="17"/>
  <c r="AA70" i="17"/>
  <c r="AA200" i="16"/>
  <c r="AG200" i="16" s="1"/>
  <c r="AA255" i="16"/>
  <c r="AG255" i="16" s="1"/>
  <c r="AA177" i="16"/>
  <c r="AG177" i="16" s="1"/>
  <c r="AA105" i="17"/>
  <c r="AA196" i="16"/>
  <c r="AG196" i="16" s="1"/>
  <c r="AA132" i="17"/>
  <c r="AA178" i="16"/>
  <c r="AG178" i="16" s="1"/>
  <c r="AA254" i="16"/>
  <c r="AG254" i="16" s="1"/>
  <c r="AA250" i="16"/>
  <c r="AG250" i="16" s="1"/>
  <c r="AA140" i="17"/>
  <c r="AA108" i="17"/>
  <c r="AA76" i="17"/>
  <c r="AA224" i="16"/>
  <c r="AG224" i="16" s="1"/>
  <c r="AA183" i="16"/>
  <c r="AG183" i="16" s="1"/>
  <c r="AA181" i="16"/>
  <c r="AG181" i="16" s="1"/>
  <c r="AA137" i="17"/>
  <c r="AA77" i="17"/>
  <c r="AA247" i="16"/>
  <c r="AG247" i="16" s="1"/>
  <c r="AA143" i="17"/>
  <c r="AA111" i="17"/>
  <c r="AA79" i="17"/>
  <c r="AA239" i="16"/>
  <c r="AG239" i="16" s="1"/>
  <c r="AA195" i="16"/>
  <c r="AG195" i="16" s="1"/>
  <c r="AA230" i="16"/>
  <c r="AG230" i="16" s="1"/>
  <c r="AA162" i="16"/>
  <c r="AG162" i="16" s="1"/>
  <c r="AA130" i="17"/>
  <c r="AA98" i="17"/>
  <c r="AA66" i="17"/>
  <c r="AA184" i="16"/>
  <c r="AG184" i="16" s="1"/>
  <c r="AA231" i="16"/>
  <c r="AG231" i="16" s="1"/>
  <c r="AA205" i="16"/>
  <c r="AG205" i="16" s="1"/>
  <c r="AA97" i="17"/>
  <c r="AA164" i="16"/>
  <c r="AG164" i="16" s="1"/>
  <c r="AA100" i="17"/>
  <c r="AA125" i="17"/>
  <c r="AA135" i="17"/>
  <c r="AA122" i="17"/>
  <c r="AA171" i="16"/>
  <c r="AG171" i="16" s="1"/>
  <c r="AA136" i="17"/>
  <c r="AA104" i="17"/>
  <c r="AA72" i="17"/>
  <c r="AA208" i="16"/>
  <c r="AG208" i="16" s="1"/>
  <c r="AA167" i="16"/>
  <c r="AG167" i="16" s="1"/>
  <c r="AA209" i="16"/>
  <c r="AG209" i="16" s="1"/>
  <c r="AA133" i="17"/>
  <c r="AA69" i="17"/>
  <c r="AA210" i="16"/>
  <c r="AG210" i="16" s="1"/>
  <c r="AA139" i="17"/>
  <c r="AA107" i="17"/>
  <c r="AA75" i="17"/>
  <c r="AA220" i="16"/>
  <c r="AG220" i="16" s="1"/>
  <c r="AA179" i="16"/>
  <c r="AG179" i="16" s="1"/>
  <c r="AA165" i="16"/>
  <c r="AG165" i="16" s="1"/>
  <c r="AA189" i="16"/>
  <c r="AG189" i="16" s="1"/>
  <c r="AA126" i="17"/>
  <c r="AA94" i="17"/>
  <c r="AA62" i="17"/>
  <c r="AA168" i="16"/>
  <c r="AG168" i="16" s="1"/>
  <c r="AA214" i="16"/>
  <c r="AG214" i="16" s="1"/>
  <c r="AA217" i="16"/>
  <c r="AG217" i="16" s="1"/>
  <c r="AA89" i="17"/>
  <c r="AA219" i="16"/>
  <c r="AG219" i="16" s="1"/>
  <c r="AA192" i="16"/>
  <c r="AG192" i="16" s="1"/>
  <c r="AA204" i="16"/>
  <c r="AG204" i="16" s="1"/>
  <c r="AA58" i="17"/>
  <c r="AA263" i="16"/>
  <c r="AA257" i="16"/>
  <c r="AA266" i="16"/>
  <c r="AA268" i="16"/>
  <c r="AA262" i="16"/>
  <c r="AA261" i="16"/>
  <c r="AA258" i="16"/>
  <c r="AA267" i="16"/>
  <c r="AA264" i="16"/>
  <c r="AA260" i="16"/>
  <c r="AA259" i="16"/>
  <c r="AA265" i="16"/>
  <c r="AA98" i="16"/>
  <c r="AA87" i="16"/>
  <c r="AA80" i="16"/>
  <c r="AA75" i="16"/>
  <c r="AA94" i="16"/>
  <c r="AA81" i="16"/>
  <c r="AA76" i="16"/>
  <c r="AA104" i="16"/>
  <c r="AA92" i="16"/>
  <c r="AA90" i="16"/>
  <c r="AA77" i="16"/>
  <c r="AA105" i="16"/>
  <c r="AA99" i="16"/>
  <c r="AA86" i="16"/>
  <c r="AA74" i="16"/>
  <c r="AA100" i="16"/>
  <c r="AA93" i="16"/>
  <c r="AA102" i="16"/>
  <c r="AA82" i="16"/>
  <c r="AA101" i="16"/>
  <c r="AA95" i="16"/>
  <c r="AA88" i="16"/>
  <c r="AA79" i="16"/>
  <c r="AA2" i="17"/>
  <c r="AA103" i="16"/>
  <c r="AA96" i="16"/>
  <c r="AA89" i="16"/>
  <c r="AA83" i="16"/>
  <c r="AA85" i="16"/>
  <c r="AA106" i="16"/>
  <c r="AA97" i="16"/>
  <c r="AA91" i="16"/>
  <c r="AA84" i="16"/>
  <c r="AA78" i="16"/>
  <c r="L391" i="21"/>
  <c r="O391" i="21" s="1"/>
  <c r="L153" i="21"/>
  <c r="O153" i="21" s="1"/>
  <c r="L126" i="21"/>
  <c r="O126" i="21" s="1"/>
  <c r="L109" i="21"/>
  <c r="L125" i="21"/>
  <c r="O125" i="21" s="1"/>
  <c r="L141" i="21"/>
  <c r="O141" i="21" s="1"/>
  <c r="L157" i="21"/>
  <c r="O157" i="21" s="1"/>
  <c r="L142" i="21"/>
  <c r="L158" i="21"/>
  <c r="O158" i="21" s="1"/>
  <c r="L120" i="21"/>
  <c r="O120" i="21" s="1"/>
  <c r="L113" i="21"/>
  <c r="O113" i="21" s="1"/>
  <c r="L129" i="21"/>
  <c r="L145" i="21"/>
  <c r="O145" i="21" s="1"/>
  <c r="L130" i="21"/>
  <c r="O130" i="21" s="1"/>
  <c r="L146" i="21"/>
  <c r="AG147" i="16"/>
  <c r="L386" i="21"/>
  <c r="O386" i="21" s="1"/>
  <c r="L131" i="21"/>
  <c r="O131" i="21" s="1"/>
  <c r="L148" i="21"/>
  <c r="O148" i="21" s="1"/>
  <c r="L128" i="21"/>
  <c r="O128" i="21" s="1"/>
  <c r="L115" i="21"/>
  <c r="O115" i="21" s="1"/>
  <c r="L147" i="21"/>
  <c r="O147" i="21" s="1"/>
  <c r="L132" i="21"/>
  <c r="O132" i="21" s="1"/>
  <c r="L389" i="21"/>
  <c r="O389" i="21" s="1"/>
  <c r="L116" i="21"/>
  <c r="L108" i="21"/>
  <c r="O108" i="21" s="1"/>
  <c r="L117" i="21"/>
  <c r="O117" i="21" s="1"/>
  <c r="L133" i="21"/>
  <c r="L149" i="21"/>
  <c r="O149" i="21" s="1"/>
  <c r="L134" i="21"/>
  <c r="O134" i="21" s="1"/>
  <c r="L150" i="21"/>
  <c r="O150" i="21" s="1"/>
  <c r="L270" i="21"/>
  <c r="O270" i="21" s="1"/>
  <c r="L124" i="21"/>
  <c r="O124" i="21" s="1"/>
  <c r="L114" i="21"/>
  <c r="L119" i="21"/>
  <c r="O119" i="21" s="1"/>
  <c r="L135" i="21"/>
  <c r="L151" i="21"/>
  <c r="O151" i="21" s="1"/>
  <c r="L136" i="21"/>
  <c r="O136" i="21" s="1"/>
  <c r="L152" i="21"/>
  <c r="O152" i="21" s="1"/>
  <c r="L110" i="21"/>
  <c r="O110" i="21" s="1"/>
  <c r="L122" i="21"/>
  <c r="O122" i="21" s="1"/>
  <c r="L121" i="21"/>
  <c r="O121" i="21" s="1"/>
  <c r="L137" i="21"/>
  <c r="L138" i="21"/>
  <c r="O138" i="21" s="1"/>
  <c r="L154" i="21"/>
  <c r="O154" i="21" s="1"/>
  <c r="K13" i="26"/>
  <c r="L118" i="21"/>
  <c r="O118" i="21" s="1"/>
  <c r="L107" i="21"/>
  <c r="O107" i="21" s="1"/>
  <c r="L123" i="21"/>
  <c r="O123" i="21" s="1"/>
  <c r="L139" i="21"/>
  <c r="O139" i="21" s="1"/>
  <c r="L155" i="21"/>
  <c r="O155" i="21" s="1"/>
  <c r="L140" i="21"/>
  <c r="L383" i="21"/>
  <c r="O383" i="21" s="1"/>
  <c r="L272" i="21"/>
  <c r="O272" i="21" s="1"/>
  <c r="L275" i="21"/>
  <c r="O275" i="21" s="1"/>
  <c r="O129" i="21"/>
  <c r="L282" i="21"/>
  <c r="O282" i="21" s="1"/>
  <c r="O160" i="21"/>
  <c r="L283" i="21"/>
  <c r="O283" i="21" s="1"/>
  <c r="L281" i="21"/>
  <c r="O281" i="21" s="1"/>
  <c r="L277" i="21"/>
  <c r="O277" i="21" s="1"/>
  <c r="M15" i="26"/>
  <c r="M14" i="26"/>
  <c r="T12" i="21"/>
  <c r="O380" i="21"/>
  <c r="AP6" i="16"/>
  <c r="AQ6" i="16" s="1"/>
  <c r="AC12" i="21"/>
  <c r="AB43" i="13"/>
  <c r="AA65" i="16"/>
  <c r="AA37" i="16"/>
  <c r="AA29" i="16"/>
  <c r="AA72" i="16"/>
  <c r="AA68" i="16"/>
  <c r="AA32" i="16"/>
  <c r="AA28" i="16"/>
  <c r="AA67" i="16"/>
  <c r="AA63" i="16"/>
  <c r="AA35" i="16"/>
  <c r="AA70" i="16"/>
  <c r="AA66" i="16"/>
  <c r="AA34" i="16"/>
  <c r="AA30" i="16"/>
  <c r="AA26" i="16"/>
  <c r="Y43" i="12"/>
  <c r="AB5" i="12"/>
  <c r="AB43" i="12" s="1"/>
  <c r="O111" i="21" l="1"/>
  <c r="O146" i="21"/>
  <c r="O140" i="21"/>
  <c r="O112" i="21"/>
  <c r="O116" i="21"/>
  <c r="O142" i="21"/>
  <c r="W12" i="21"/>
  <c r="Z12" i="21" s="1"/>
  <c r="AH12" i="21" s="1"/>
  <c r="AG8" i="16"/>
  <c r="L8" i="21"/>
  <c r="O8" i="21" s="1"/>
  <c r="AG91" i="16"/>
  <c r="L91" i="21"/>
  <c r="O91" i="21" s="1"/>
  <c r="AG100" i="16"/>
  <c r="L100" i="21"/>
  <c r="O100" i="21" s="1"/>
  <c r="AG92" i="16"/>
  <c r="L92" i="21"/>
  <c r="O92" i="21" s="1"/>
  <c r="AG98" i="16"/>
  <c r="L98" i="21"/>
  <c r="O98" i="21" s="1"/>
  <c r="AG258" i="16"/>
  <c r="L258" i="21"/>
  <c r="O258" i="21" s="1"/>
  <c r="AG6" i="16"/>
  <c r="L6" i="21"/>
  <c r="O6" i="21" s="1"/>
  <c r="AG38" i="16"/>
  <c r="L38" i="21"/>
  <c r="O38" i="21" s="1"/>
  <c r="AG41" i="16"/>
  <c r="L41" i="21"/>
  <c r="O41" i="21" s="1"/>
  <c r="L351" i="21"/>
  <c r="O351" i="21" s="1"/>
  <c r="AG351" i="16"/>
  <c r="AG331" i="16"/>
  <c r="L331" i="21"/>
  <c r="O331" i="21" s="1"/>
  <c r="AG300" i="16"/>
  <c r="L300" i="21"/>
  <c r="O300" i="21" s="1"/>
  <c r="AG333" i="16"/>
  <c r="L333" i="21"/>
  <c r="O333" i="21" s="1"/>
  <c r="AG295" i="16"/>
  <c r="L295" i="21"/>
  <c r="O295" i="21" s="1"/>
  <c r="AG334" i="16"/>
  <c r="L334" i="21"/>
  <c r="O334" i="21" s="1"/>
  <c r="AG353" i="16"/>
  <c r="L353" i="21"/>
  <c r="O353" i="21" s="1"/>
  <c r="AG348" i="16"/>
  <c r="L348" i="21"/>
  <c r="O348" i="21" s="1"/>
  <c r="AG312" i="16"/>
  <c r="L312" i="21"/>
  <c r="O312" i="21" s="1"/>
  <c r="O143" i="21"/>
  <c r="O135" i="21"/>
  <c r="O133" i="21"/>
  <c r="O109" i="21"/>
  <c r="AG97" i="16"/>
  <c r="L97" i="21"/>
  <c r="O97" i="21" s="1"/>
  <c r="AG79" i="16"/>
  <c r="L79" i="21"/>
  <c r="O79" i="21" s="1"/>
  <c r="L253" i="21"/>
  <c r="O253" i="21" s="1"/>
  <c r="L237" i="21"/>
  <c r="O237" i="21" s="1"/>
  <c r="L221" i="21"/>
  <c r="O221" i="21" s="1"/>
  <c r="L205" i="21"/>
  <c r="O205" i="21" s="1"/>
  <c r="L189" i="21"/>
  <c r="O189" i="21" s="1"/>
  <c r="L226" i="21"/>
  <c r="O226" i="21" s="1"/>
  <c r="L194" i="21"/>
  <c r="O194" i="21" s="1"/>
  <c r="L175" i="21"/>
  <c r="O175" i="21" s="1"/>
  <c r="L256" i="21"/>
  <c r="O256" i="21" s="1"/>
  <c r="L224" i="21"/>
  <c r="O224" i="21" s="1"/>
  <c r="L192" i="21"/>
  <c r="O192" i="21" s="1"/>
  <c r="L174" i="21"/>
  <c r="O174" i="21" s="1"/>
  <c r="L251" i="21"/>
  <c r="O251" i="21" s="1"/>
  <c r="L235" i="21"/>
  <c r="O235" i="21" s="1"/>
  <c r="L219" i="21"/>
  <c r="O219" i="21" s="1"/>
  <c r="L203" i="21"/>
  <c r="O203" i="21" s="1"/>
  <c r="L254" i="21"/>
  <c r="O254" i="21" s="1"/>
  <c r="L222" i="21"/>
  <c r="O222" i="21" s="1"/>
  <c r="L190" i="21"/>
  <c r="O190" i="21" s="1"/>
  <c r="L173" i="21"/>
  <c r="O173" i="21" s="1"/>
  <c r="L252" i="21"/>
  <c r="O252" i="21" s="1"/>
  <c r="L220" i="21"/>
  <c r="O220" i="21" s="1"/>
  <c r="L188" i="21"/>
  <c r="O188" i="21" s="1"/>
  <c r="L172" i="21"/>
  <c r="O172" i="21" s="1"/>
  <c r="L249" i="21"/>
  <c r="O249" i="21" s="1"/>
  <c r="L233" i="21"/>
  <c r="O233" i="21" s="1"/>
  <c r="L217" i="21"/>
  <c r="O217" i="21" s="1"/>
  <c r="L201" i="21"/>
  <c r="O201" i="21" s="1"/>
  <c r="L250" i="21"/>
  <c r="O250" i="21" s="1"/>
  <c r="L218" i="21"/>
  <c r="O218" i="21" s="1"/>
  <c r="L187" i="21"/>
  <c r="O187" i="21" s="1"/>
  <c r="L171" i="21"/>
  <c r="O171" i="21" s="1"/>
  <c r="L248" i="21"/>
  <c r="O248" i="21" s="1"/>
  <c r="L216" i="21"/>
  <c r="O216" i="21" s="1"/>
  <c r="L186" i="21"/>
  <c r="O186" i="21" s="1"/>
  <c r="L170" i="21"/>
  <c r="O170" i="21" s="1"/>
  <c r="L239" i="21"/>
  <c r="O239" i="21" s="1"/>
  <c r="L191" i="21"/>
  <c r="O191" i="21" s="1"/>
  <c r="L198" i="21"/>
  <c r="O198" i="21" s="1"/>
  <c r="L228" i="21"/>
  <c r="O228" i="21" s="1"/>
  <c r="L74" i="21"/>
  <c r="O74" i="21" s="1"/>
  <c r="L247" i="21"/>
  <c r="O247" i="21" s="1"/>
  <c r="L231" i="21"/>
  <c r="O231" i="21" s="1"/>
  <c r="L215" i="21"/>
  <c r="O215" i="21" s="1"/>
  <c r="L199" i="21"/>
  <c r="O199" i="21" s="1"/>
  <c r="L246" i="21"/>
  <c r="O246" i="21" s="1"/>
  <c r="L214" i="21"/>
  <c r="O214" i="21" s="1"/>
  <c r="L185" i="21"/>
  <c r="O185" i="21" s="1"/>
  <c r="L169" i="21"/>
  <c r="O169" i="21" s="1"/>
  <c r="L244" i="21"/>
  <c r="O244" i="21" s="1"/>
  <c r="L212" i="21"/>
  <c r="O212" i="21" s="1"/>
  <c r="L184" i="21"/>
  <c r="O184" i="21" s="1"/>
  <c r="L168" i="21"/>
  <c r="O168" i="21" s="1"/>
  <c r="L223" i="21"/>
  <c r="O223" i="21" s="1"/>
  <c r="L176" i="21"/>
  <c r="O176" i="21" s="1"/>
  <c r="L245" i="21"/>
  <c r="O245" i="21" s="1"/>
  <c r="L229" i="21"/>
  <c r="O229" i="21" s="1"/>
  <c r="L213" i="21"/>
  <c r="O213" i="21" s="1"/>
  <c r="L197" i="21"/>
  <c r="O197" i="21" s="1"/>
  <c r="L242" i="21"/>
  <c r="O242" i="21" s="1"/>
  <c r="L210" i="21"/>
  <c r="O210" i="21" s="1"/>
  <c r="L183" i="21"/>
  <c r="O183" i="21" s="1"/>
  <c r="L167" i="21"/>
  <c r="O167" i="21" s="1"/>
  <c r="L240" i="21"/>
  <c r="O240" i="21" s="1"/>
  <c r="L208" i="21"/>
  <c r="O208" i="21" s="1"/>
  <c r="L182" i="21"/>
  <c r="O182" i="21" s="1"/>
  <c r="L166" i="21"/>
  <c r="O166" i="21" s="1"/>
  <c r="L255" i="21"/>
  <c r="O255" i="21" s="1"/>
  <c r="L207" i="21"/>
  <c r="O207" i="21" s="1"/>
  <c r="L177" i="21"/>
  <c r="O177" i="21" s="1"/>
  <c r="L196" i="21"/>
  <c r="O196" i="21" s="1"/>
  <c r="L243" i="21"/>
  <c r="O243" i="21" s="1"/>
  <c r="L227" i="21"/>
  <c r="O227" i="21" s="1"/>
  <c r="L211" i="21"/>
  <c r="O211" i="21" s="1"/>
  <c r="L195" i="21"/>
  <c r="O195" i="21" s="1"/>
  <c r="L238" i="21"/>
  <c r="O238" i="21" s="1"/>
  <c r="L206" i="21"/>
  <c r="O206" i="21" s="1"/>
  <c r="L181" i="21"/>
  <c r="O181" i="21" s="1"/>
  <c r="L165" i="21"/>
  <c r="O165" i="21" s="1"/>
  <c r="L236" i="21"/>
  <c r="O236" i="21" s="1"/>
  <c r="L204" i="21"/>
  <c r="O204" i="21" s="1"/>
  <c r="L180" i="21"/>
  <c r="O180" i="21" s="1"/>
  <c r="L164" i="21"/>
  <c r="O164" i="21" s="1"/>
  <c r="L230" i="21"/>
  <c r="O230" i="21" s="1"/>
  <c r="L161" i="21"/>
  <c r="AG74" i="16"/>
  <c r="L241" i="21"/>
  <c r="O241" i="21" s="1"/>
  <c r="L225" i="21"/>
  <c r="O225" i="21" s="1"/>
  <c r="L209" i="21"/>
  <c r="O209" i="21" s="1"/>
  <c r="L193" i="21"/>
  <c r="O193" i="21" s="1"/>
  <c r="L234" i="21"/>
  <c r="O234" i="21" s="1"/>
  <c r="L202" i="21"/>
  <c r="O202" i="21" s="1"/>
  <c r="L179" i="21"/>
  <c r="O179" i="21" s="1"/>
  <c r="L163" i="21"/>
  <c r="O163" i="21" s="1"/>
  <c r="L232" i="21"/>
  <c r="O232" i="21" s="1"/>
  <c r="L200" i="21"/>
  <c r="O200" i="21" s="1"/>
  <c r="L178" i="21"/>
  <c r="O178" i="21" s="1"/>
  <c r="L162" i="21"/>
  <c r="O162" i="21" s="1"/>
  <c r="AG104" i="16"/>
  <c r="L104" i="21"/>
  <c r="O104" i="21" s="1"/>
  <c r="AG261" i="16"/>
  <c r="L261" i="21"/>
  <c r="O261" i="21" s="1"/>
  <c r="AG39" i="16"/>
  <c r="L39" i="21"/>
  <c r="O39" i="21" s="1"/>
  <c r="L47" i="21"/>
  <c r="O47" i="21" s="1"/>
  <c r="AG47" i="16"/>
  <c r="AG323" i="16"/>
  <c r="L323" i="21"/>
  <c r="O323" i="21" s="1"/>
  <c r="AG319" i="16"/>
  <c r="L319" i="21"/>
  <c r="O319" i="21" s="1"/>
  <c r="AG357" i="16"/>
  <c r="L357" i="21"/>
  <c r="O357" i="21" s="1"/>
  <c r="AG343" i="16"/>
  <c r="L343" i="21"/>
  <c r="O343" i="21" s="1"/>
  <c r="AG298" i="16"/>
  <c r="L298" i="21"/>
  <c r="O298" i="21" s="1"/>
  <c r="L370" i="21"/>
  <c r="O370" i="21" s="1"/>
  <c r="L373" i="21"/>
  <c r="O373" i="21" s="1"/>
  <c r="L379" i="21"/>
  <c r="O379" i="21" s="1"/>
  <c r="L369" i="21"/>
  <c r="O369" i="21" s="1"/>
  <c r="L377" i="21"/>
  <c r="O377" i="21" s="1"/>
  <c r="L375" i="21"/>
  <c r="O375" i="21" s="1"/>
  <c r="L367" i="21"/>
  <c r="O367" i="21" s="1"/>
  <c r="L371" i="21"/>
  <c r="O371" i="21" s="1"/>
  <c r="L374" i="21"/>
  <c r="O374" i="21" s="1"/>
  <c r="L376" i="21"/>
  <c r="O376" i="21" s="1"/>
  <c r="AG367" i="16"/>
  <c r="L372" i="21"/>
  <c r="O372" i="21" s="1"/>
  <c r="L378" i="21"/>
  <c r="O378" i="21" s="1"/>
  <c r="L368" i="21"/>
  <c r="O368" i="21" s="1"/>
  <c r="AG366" i="16"/>
  <c r="L366" i="21"/>
  <c r="O366" i="21" s="1"/>
  <c r="AG341" i="16"/>
  <c r="L341" i="21"/>
  <c r="O341" i="21" s="1"/>
  <c r="AG329" i="16"/>
  <c r="L329" i="21"/>
  <c r="O329" i="21" s="1"/>
  <c r="AG355" i="16"/>
  <c r="L355" i="21"/>
  <c r="O355" i="21" s="1"/>
  <c r="L103" i="21"/>
  <c r="O103" i="21" s="1"/>
  <c r="AG103" i="16"/>
  <c r="AG40" i="16"/>
  <c r="L40" i="21"/>
  <c r="O40" i="21" s="1"/>
  <c r="L318" i="21"/>
  <c r="O318" i="21" s="1"/>
  <c r="AG318" i="16"/>
  <c r="AA27" i="16"/>
  <c r="AA36" i="16"/>
  <c r="AA69" i="16"/>
  <c r="AA31" i="16"/>
  <c r="AG31" i="16" s="1"/>
  <c r="AA64" i="16"/>
  <c r="AA73" i="16"/>
  <c r="O137" i="21"/>
  <c r="AG106" i="16"/>
  <c r="L106" i="21"/>
  <c r="O106" i="21" s="1"/>
  <c r="L88" i="21"/>
  <c r="O88" i="21" s="1"/>
  <c r="AG88" i="16"/>
  <c r="L86" i="21"/>
  <c r="O86" i="21" s="1"/>
  <c r="AG86" i="16"/>
  <c r="AG76" i="16"/>
  <c r="L76" i="21"/>
  <c r="O76" i="21" s="1"/>
  <c r="AG265" i="16"/>
  <c r="L265" i="21"/>
  <c r="O265" i="21" s="1"/>
  <c r="L262" i="21"/>
  <c r="O262" i="21" s="1"/>
  <c r="AG262" i="16"/>
  <c r="AG48" i="16"/>
  <c r="L48" i="21"/>
  <c r="O48" i="21" s="1"/>
  <c r="AG9" i="16"/>
  <c r="L9" i="21"/>
  <c r="O9" i="21" s="1"/>
  <c r="AG3" i="16"/>
  <c r="L3" i="21"/>
  <c r="O3" i="21" s="1"/>
  <c r="O144" i="21"/>
  <c r="AG365" i="16"/>
  <c r="L365" i="21"/>
  <c r="O365" i="21" s="1"/>
  <c r="AG350" i="16"/>
  <c r="L350" i="21"/>
  <c r="O350" i="21" s="1"/>
  <c r="AG328" i="16"/>
  <c r="L328" i="21"/>
  <c r="O328" i="21" s="1"/>
  <c r="AG345" i="16"/>
  <c r="L345" i="21"/>
  <c r="O345" i="21" s="1"/>
  <c r="L330" i="21"/>
  <c r="O330" i="21" s="1"/>
  <c r="AG330" i="16"/>
  <c r="AG347" i="16"/>
  <c r="L347" i="21"/>
  <c r="O347" i="21" s="1"/>
  <c r="AG321" i="16"/>
  <c r="L321" i="21"/>
  <c r="O321" i="21" s="1"/>
  <c r="AG305" i="16"/>
  <c r="L305" i="21"/>
  <c r="O305" i="21" s="1"/>
  <c r="L307" i="21"/>
  <c r="O307" i="21" s="1"/>
  <c r="AG307" i="16"/>
  <c r="AG360" i="16"/>
  <c r="L360" i="21"/>
  <c r="O360" i="21" s="1"/>
  <c r="AG314" i="16"/>
  <c r="L314" i="21"/>
  <c r="O314" i="21" s="1"/>
  <c r="AG84" i="16"/>
  <c r="L84" i="21"/>
  <c r="O84" i="21" s="1"/>
  <c r="L44" i="21"/>
  <c r="O44" i="21" s="1"/>
  <c r="AG44" i="16"/>
  <c r="AG293" i="16"/>
  <c r="L293" i="21"/>
  <c r="O293" i="21" s="1"/>
  <c r="L320" i="21"/>
  <c r="O320" i="21" s="1"/>
  <c r="AG320" i="16"/>
  <c r="AG364" i="16"/>
  <c r="L364" i="21"/>
  <c r="O364" i="21" s="1"/>
  <c r="AG302" i="16"/>
  <c r="L302" i="21"/>
  <c r="O302" i="21" s="1"/>
  <c r="L297" i="21"/>
  <c r="O297" i="21" s="1"/>
  <c r="AG297" i="16"/>
  <c r="AG361" i="16"/>
  <c r="L361" i="21"/>
  <c r="O361" i="21" s="1"/>
  <c r="L336" i="21"/>
  <c r="O336" i="21" s="1"/>
  <c r="AG336" i="16"/>
  <c r="O114" i="21"/>
  <c r="L85" i="21"/>
  <c r="O85" i="21" s="1"/>
  <c r="AG85" i="16"/>
  <c r="AG95" i="16"/>
  <c r="L95" i="21"/>
  <c r="O95" i="21" s="1"/>
  <c r="AG99" i="16"/>
  <c r="L99" i="21"/>
  <c r="O99" i="21" s="1"/>
  <c r="AG81" i="16"/>
  <c r="L81" i="21"/>
  <c r="O81" i="21" s="1"/>
  <c r="AG268" i="16"/>
  <c r="L268" i="21"/>
  <c r="O268" i="21" s="1"/>
  <c r="AG49" i="16"/>
  <c r="L49" i="21"/>
  <c r="O49" i="21" s="1"/>
  <c r="AG42" i="16"/>
  <c r="L42" i="21"/>
  <c r="O42" i="21" s="1"/>
  <c r="AG12" i="16"/>
  <c r="L12" i="21"/>
  <c r="O12" i="21" s="1"/>
  <c r="AG317" i="16"/>
  <c r="L317" i="21"/>
  <c r="O317" i="21" s="1"/>
  <c r="AG322" i="16"/>
  <c r="L322" i="21"/>
  <c r="O322" i="21" s="1"/>
  <c r="L294" i="21"/>
  <c r="O294" i="21" s="1"/>
  <c r="AG294" i="16"/>
  <c r="AG337" i="16"/>
  <c r="L337" i="21"/>
  <c r="O337" i="21" s="1"/>
  <c r="AG362" i="16"/>
  <c r="L362" i="21"/>
  <c r="O362" i="21" s="1"/>
  <c r="AG335" i="16"/>
  <c r="L335" i="21"/>
  <c r="O335" i="21" s="1"/>
  <c r="AG301" i="16"/>
  <c r="L301" i="21"/>
  <c r="O301" i="21" s="1"/>
  <c r="AG349" i="16"/>
  <c r="L349" i="21"/>
  <c r="O349" i="21" s="1"/>
  <c r="AG303" i="16"/>
  <c r="L303" i="21"/>
  <c r="O303" i="21" s="1"/>
  <c r="AG346" i="16"/>
  <c r="L346" i="21"/>
  <c r="O346" i="21" s="1"/>
  <c r="AG87" i="16"/>
  <c r="L87" i="21"/>
  <c r="O87" i="21" s="1"/>
  <c r="AG83" i="16"/>
  <c r="L83" i="21"/>
  <c r="O83" i="21" s="1"/>
  <c r="L101" i="21"/>
  <c r="O101" i="21" s="1"/>
  <c r="AG101" i="16"/>
  <c r="L105" i="21"/>
  <c r="O105" i="21" s="1"/>
  <c r="AG105" i="16"/>
  <c r="AG94" i="16"/>
  <c r="L94" i="21"/>
  <c r="O94" i="21" s="1"/>
  <c r="AG259" i="16"/>
  <c r="L259" i="21"/>
  <c r="O259" i="21" s="1"/>
  <c r="AG266" i="16"/>
  <c r="L266" i="21"/>
  <c r="O266" i="21" s="1"/>
  <c r="AP4" i="16"/>
  <c r="AQ4" i="16" s="1"/>
  <c r="AC10" i="21"/>
  <c r="AG7" i="16"/>
  <c r="L7" i="21"/>
  <c r="O7" i="21" s="1"/>
  <c r="AG10" i="16"/>
  <c r="L10" i="21"/>
  <c r="O10" i="21" s="1"/>
  <c r="AG4" i="16"/>
  <c r="L4" i="21"/>
  <c r="O4" i="21" s="1"/>
  <c r="AG45" i="16"/>
  <c r="L45" i="21"/>
  <c r="O45" i="21" s="1"/>
  <c r="AG359" i="16"/>
  <c r="L359" i="21"/>
  <c r="O359" i="21" s="1"/>
  <c r="AG354" i="16"/>
  <c r="L354" i="21"/>
  <c r="O354" i="21" s="1"/>
  <c r="AG316" i="16"/>
  <c r="L316" i="21"/>
  <c r="O316" i="21" s="1"/>
  <c r="AG326" i="16"/>
  <c r="L326" i="21"/>
  <c r="O326" i="21" s="1"/>
  <c r="L340" i="21"/>
  <c r="O340" i="21" s="1"/>
  <c r="AG340" i="16"/>
  <c r="AG315" i="16"/>
  <c r="L315" i="21"/>
  <c r="O315" i="21" s="1"/>
  <c r="L344" i="21"/>
  <c r="O344" i="21" s="1"/>
  <c r="AG344" i="16"/>
  <c r="AG310" i="16"/>
  <c r="L310" i="21"/>
  <c r="O310" i="21" s="1"/>
  <c r="AG311" i="16"/>
  <c r="L311" i="21"/>
  <c r="O311" i="21" s="1"/>
  <c r="AG267" i="16"/>
  <c r="L267" i="21"/>
  <c r="O267" i="21" s="1"/>
  <c r="L89" i="21"/>
  <c r="O89" i="21" s="1"/>
  <c r="AG89" i="16"/>
  <c r="AG82" i="16"/>
  <c r="L82" i="21"/>
  <c r="O82" i="21" s="1"/>
  <c r="AG77" i="16"/>
  <c r="L77" i="21"/>
  <c r="O77" i="21" s="1"/>
  <c r="AG75" i="16"/>
  <c r="L75" i="21"/>
  <c r="O75" i="21" s="1"/>
  <c r="AG260" i="16"/>
  <c r="L260" i="21"/>
  <c r="O260" i="21" s="1"/>
  <c r="L257" i="21"/>
  <c r="O257" i="21" s="1"/>
  <c r="W11" i="21" s="1"/>
  <c r="AG257" i="16"/>
  <c r="L2" i="21"/>
  <c r="O2" i="21" s="1"/>
  <c r="AG2" i="16"/>
  <c r="L43" i="21"/>
  <c r="O43" i="21" s="1"/>
  <c r="AG43" i="16"/>
  <c r="AG13" i="16"/>
  <c r="L13" i="21"/>
  <c r="O13" i="21" s="1"/>
  <c r="AG325" i="16"/>
  <c r="L325" i="21"/>
  <c r="O325" i="21" s="1"/>
  <c r="AG309" i="16"/>
  <c r="L309" i="21"/>
  <c r="O309" i="21" s="1"/>
  <c r="AG358" i="16"/>
  <c r="L358" i="21"/>
  <c r="O358" i="21" s="1"/>
  <c r="L327" i="21"/>
  <c r="O327" i="21" s="1"/>
  <c r="AG327" i="16"/>
  <c r="L296" i="21"/>
  <c r="O296" i="21" s="1"/>
  <c r="AG296" i="16"/>
  <c r="L363" i="21"/>
  <c r="O363" i="21" s="1"/>
  <c r="AG363" i="16"/>
  <c r="L306" i="21"/>
  <c r="O306" i="21" s="1"/>
  <c r="AG306" i="16"/>
  <c r="AG352" i="16"/>
  <c r="L352" i="21"/>
  <c r="O352" i="21" s="1"/>
  <c r="AG342" i="16"/>
  <c r="L342" i="21"/>
  <c r="O342" i="21" s="1"/>
  <c r="AG299" i="16"/>
  <c r="L299" i="21"/>
  <c r="O299" i="21" s="1"/>
  <c r="AG93" i="16"/>
  <c r="L93" i="21"/>
  <c r="O93" i="21" s="1"/>
  <c r="AA62" i="16"/>
  <c r="AG62" i="16" s="1"/>
  <c r="AA71" i="16"/>
  <c r="L71" i="21" s="1"/>
  <c r="O71" i="21" s="1"/>
  <c r="AA33" i="16"/>
  <c r="AG33" i="16" s="1"/>
  <c r="AG78" i="16"/>
  <c r="L78" i="21"/>
  <c r="O78" i="21" s="1"/>
  <c r="AG96" i="16"/>
  <c r="L96" i="21"/>
  <c r="O96" i="21" s="1"/>
  <c r="AG102" i="16"/>
  <c r="L102" i="21"/>
  <c r="O102" i="21" s="1"/>
  <c r="L90" i="21"/>
  <c r="O90" i="21" s="1"/>
  <c r="AG90" i="16"/>
  <c r="AG80" i="16"/>
  <c r="L80" i="21"/>
  <c r="O80" i="21" s="1"/>
  <c r="AG264" i="16"/>
  <c r="L264" i="21"/>
  <c r="O264" i="21" s="1"/>
  <c r="L263" i="21"/>
  <c r="O263" i="21" s="1"/>
  <c r="AG263" i="16"/>
  <c r="AG11" i="16"/>
  <c r="L11" i="21"/>
  <c r="O11" i="21" s="1"/>
  <c r="AG5" i="16"/>
  <c r="L5" i="21"/>
  <c r="O5" i="21" s="1"/>
  <c r="AG46" i="16"/>
  <c r="L46" i="21"/>
  <c r="O46" i="21" s="1"/>
  <c r="AG313" i="16"/>
  <c r="L313" i="21"/>
  <c r="O313" i="21" s="1"/>
  <c r="AG332" i="16"/>
  <c r="L332" i="21"/>
  <c r="O332" i="21" s="1"/>
  <c r="AG308" i="16"/>
  <c r="L308" i="21"/>
  <c r="O308" i="21" s="1"/>
  <c r="AG339" i="16"/>
  <c r="L339" i="21"/>
  <c r="O339" i="21" s="1"/>
  <c r="AG324" i="16"/>
  <c r="L324" i="21"/>
  <c r="O324" i="21" s="1"/>
  <c r="AG338" i="16"/>
  <c r="L338" i="21"/>
  <c r="O338" i="21" s="1"/>
  <c r="L304" i="21"/>
  <c r="O304" i="21" s="1"/>
  <c r="AG304" i="16"/>
  <c r="AG356" i="16"/>
  <c r="L356" i="21"/>
  <c r="O356" i="21" s="1"/>
  <c r="T11" i="21"/>
  <c r="L31" i="21"/>
  <c r="O31" i="21" s="1"/>
  <c r="AG64" i="16"/>
  <c r="L64" i="21"/>
  <c r="O64" i="21" s="1"/>
  <c r="AG73" i="16"/>
  <c r="L73" i="21"/>
  <c r="O73" i="21" s="1"/>
  <c r="AG26" i="16"/>
  <c r="L26" i="21"/>
  <c r="AG66" i="16"/>
  <c r="L66" i="21"/>
  <c r="O66" i="21" s="1"/>
  <c r="AG35" i="16"/>
  <c r="L35" i="21"/>
  <c r="O35" i="21" s="1"/>
  <c r="AG28" i="16"/>
  <c r="L28" i="21"/>
  <c r="O28" i="21" s="1"/>
  <c r="AG68" i="16"/>
  <c r="L68" i="21"/>
  <c r="O68" i="21" s="1"/>
  <c r="AG37" i="16"/>
  <c r="L37" i="21"/>
  <c r="O37" i="21" s="1"/>
  <c r="AG30" i="16"/>
  <c r="L30" i="21"/>
  <c r="O30" i="21" s="1"/>
  <c r="AG70" i="16"/>
  <c r="L70" i="21"/>
  <c r="O70" i="21" s="1"/>
  <c r="AG63" i="16"/>
  <c r="L63" i="21"/>
  <c r="O63" i="21" s="1"/>
  <c r="AG32" i="16"/>
  <c r="L32" i="21"/>
  <c r="O32" i="21" s="1"/>
  <c r="AG72" i="16"/>
  <c r="L72" i="21"/>
  <c r="O72" i="21" s="1"/>
  <c r="AG65" i="16"/>
  <c r="L65" i="21"/>
  <c r="O65" i="21" s="1"/>
  <c r="AG27" i="16"/>
  <c r="L27" i="21"/>
  <c r="O27" i="21" s="1"/>
  <c r="AG67" i="16"/>
  <c r="L67" i="21"/>
  <c r="O67" i="21" s="1"/>
  <c r="AG36" i="16"/>
  <c r="L36" i="21"/>
  <c r="O36" i="21" s="1"/>
  <c r="AG69" i="16"/>
  <c r="L69" i="21"/>
  <c r="O69" i="21" s="1"/>
  <c r="AG34" i="16"/>
  <c r="L34" i="21"/>
  <c r="O34" i="21" s="1"/>
  <c r="AG29" i="16"/>
  <c r="L29" i="21"/>
  <c r="O29" i="21" s="1"/>
  <c r="L62" i="21" l="1"/>
  <c r="O62" i="21" s="1"/>
  <c r="AP3" i="16"/>
  <c r="AQ3" i="16" s="1"/>
  <c r="L33" i="21"/>
  <c r="O33" i="21" s="1"/>
  <c r="W9" i="21"/>
  <c r="AC9" i="21"/>
  <c r="AG71" i="16"/>
  <c r="T9" i="21"/>
  <c r="AP5" i="16"/>
  <c r="AQ5" i="16" s="1"/>
  <c r="AC11" i="21"/>
  <c r="T10" i="21"/>
  <c r="O161" i="21"/>
  <c r="W10" i="21" s="1"/>
  <c r="Z11" i="21"/>
  <c r="O26" i="21"/>
  <c r="W7" i="21" s="1"/>
  <c r="T7" i="21"/>
  <c r="AP2" i="16"/>
  <c r="AC7" i="21"/>
  <c r="Z9" i="21" l="1"/>
  <c r="AH9" i="21"/>
  <c r="Z10" i="21"/>
  <c r="AH10" i="21" s="1"/>
  <c r="AH11" i="21"/>
  <c r="AP8" i="16"/>
  <c r="AQ8" i="16" s="1"/>
  <c r="Z7" i="21"/>
  <c r="AH7" i="21" s="1"/>
  <c r="AQ2" i="16"/>
  <c r="AP7" i="16"/>
  <c r="AQ7" i="16" l="1"/>
  <c r="AP9" i="16"/>
  <c r="AQ9" i="16" s="1"/>
  <c r="K2" i="21" l="1"/>
  <c r="N2" i="21"/>
  <c r="K3" i="21"/>
  <c r="N3" i="21"/>
  <c r="K4" i="21"/>
  <c r="N4" i="21"/>
  <c r="K5" i="21"/>
  <c r="N5" i="21"/>
  <c r="K6" i="21"/>
  <c r="N6" i="21"/>
  <c r="K7" i="21"/>
  <c r="N7" i="21"/>
  <c r="R7" i="21"/>
  <c r="S7" i="21"/>
  <c r="U7" i="21"/>
  <c r="V7" i="21"/>
  <c r="X7" i="21"/>
  <c r="Y7" i="21"/>
  <c r="AA7" i="21"/>
  <c r="AB7" i="21"/>
  <c r="AF7" i="21"/>
  <c r="AG7" i="21"/>
  <c r="AI7" i="21"/>
  <c r="AJ7" i="21"/>
  <c r="K8" i="21"/>
  <c r="N8" i="21"/>
  <c r="K9" i="21"/>
  <c r="N9" i="21"/>
  <c r="S9" i="21"/>
  <c r="V9" i="21"/>
  <c r="Y9" i="21"/>
  <c r="AB9" i="21"/>
  <c r="AE9" i="21"/>
  <c r="AG9" i="21"/>
  <c r="AJ9" i="21"/>
  <c r="K10" i="21"/>
  <c r="N10" i="21"/>
  <c r="S10" i="21"/>
  <c r="V10" i="21"/>
  <c r="Y10" i="21"/>
  <c r="AB10" i="21"/>
  <c r="AE10" i="21"/>
  <c r="AG10" i="21"/>
  <c r="AJ10" i="21"/>
  <c r="K11" i="21"/>
  <c r="N11" i="21"/>
  <c r="S11" i="21"/>
  <c r="V11" i="21"/>
  <c r="Y11" i="21"/>
  <c r="AB11" i="21"/>
  <c r="AE11" i="21"/>
  <c r="AG11" i="21"/>
  <c r="AJ11" i="21"/>
  <c r="K12" i="21"/>
  <c r="N12" i="21"/>
  <c r="S12" i="21"/>
  <c r="V12" i="21"/>
  <c r="Y12" i="21"/>
  <c r="AB12" i="21"/>
  <c r="AG12" i="21"/>
  <c r="AJ12" i="21"/>
  <c r="K13" i="21"/>
  <c r="N13" i="21"/>
  <c r="J14" i="21"/>
  <c r="M14" i="21"/>
  <c r="J15" i="21"/>
  <c r="M15" i="21"/>
  <c r="J16" i="21"/>
  <c r="M16" i="21"/>
  <c r="J17" i="21"/>
  <c r="M17" i="21"/>
  <c r="J18" i="21"/>
  <c r="M18" i="21"/>
  <c r="J19" i="21"/>
  <c r="M19" i="21"/>
  <c r="J20" i="21"/>
  <c r="M20" i="21"/>
  <c r="J21" i="21"/>
  <c r="M21" i="21"/>
  <c r="J22" i="21"/>
  <c r="M22" i="21"/>
  <c r="J23" i="21"/>
  <c r="M23" i="21"/>
  <c r="J24" i="21"/>
  <c r="M24" i="21"/>
  <c r="J25" i="21"/>
  <c r="M25" i="21"/>
  <c r="K26" i="21"/>
  <c r="N26" i="21"/>
  <c r="K27" i="21"/>
  <c r="N27" i="21"/>
  <c r="K28" i="21"/>
  <c r="N28" i="21"/>
  <c r="K29" i="21"/>
  <c r="N29" i="21"/>
  <c r="K30" i="21"/>
  <c r="N30" i="21"/>
  <c r="K31" i="21"/>
  <c r="N31" i="21"/>
  <c r="K32" i="21"/>
  <c r="N32" i="21"/>
  <c r="K33" i="21"/>
  <c r="N33" i="21"/>
  <c r="K34" i="21"/>
  <c r="N34" i="21"/>
  <c r="K35" i="21"/>
  <c r="N35" i="21"/>
  <c r="K36" i="21"/>
  <c r="N36" i="21"/>
  <c r="K37" i="21"/>
  <c r="N37" i="21"/>
  <c r="K38" i="21"/>
  <c r="N38" i="21"/>
  <c r="K39" i="21"/>
  <c r="N39" i="21"/>
  <c r="K40" i="21"/>
  <c r="N40" i="21"/>
  <c r="K41" i="21"/>
  <c r="N41" i="21"/>
  <c r="K42" i="21"/>
  <c r="N42" i="21"/>
  <c r="K43" i="21"/>
  <c r="N43" i="21"/>
  <c r="K44" i="21"/>
  <c r="N44" i="21"/>
  <c r="K45" i="21"/>
  <c r="N45" i="21"/>
  <c r="K46" i="21"/>
  <c r="N46" i="21"/>
  <c r="K47" i="21"/>
  <c r="N47" i="21"/>
  <c r="K48" i="21"/>
  <c r="N48" i="21"/>
  <c r="K49" i="21"/>
  <c r="N49" i="21"/>
  <c r="J50" i="21"/>
  <c r="M50" i="21"/>
  <c r="J51" i="21"/>
  <c r="M51" i="21"/>
  <c r="J52" i="21"/>
  <c r="M52" i="21"/>
  <c r="J53" i="21"/>
  <c r="M53" i="21"/>
  <c r="J54" i="21"/>
  <c r="M54" i="21"/>
  <c r="J55" i="21"/>
  <c r="M55" i="21"/>
  <c r="J56" i="21"/>
  <c r="M56" i="21"/>
  <c r="J57" i="21"/>
  <c r="M57" i="21"/>
  <c r="J58" i="21"/>
  <c r="M58" i="21"/>
  <c r="J59" i="21"/>
  <c r="M59" i="21"/>
  <c r="J60" i="21"/>
  <c r="M60" i="21"/>
  <c r="J61" i="21"/>
  <c r="M61" i="21"/>
  <c r="K62" i="21"/>
  <c r="N62" i="21"/>
  <c r="K63" i="21"/>
  <c r="N63" i="21"/>
  <c r="K64" i="21"/>
  <c r="N64" i="21"/>
  <c r="K65" i="21"/>
  <c r="N65" i="21"/>
  <c r="K66" i="21"/>
  <c r="N66" i="21"/>
  <c r="K67" i="21"/>
  <c r="N67" i="21"/>
  <c r="K68" i="21"/>
  <c r="N68" i="21"/>
  <c r="K69" i="21"/>
  <c r="N69" i="21"/>
  <c r="K70" i="21"/>
  <c r="N70" i="21"/>
  <c r="K71" i="21"/>
  <c r="N71" i="21"/>
  <c r="K72" i="21"/>
  <c r="N72" i="21"/>
  <c r="K73" i="21"/>
  <c r="N73" i="21"/>
  <c r="K74" i="21"/>
  <c r="N74" i="21"/>
  <c r="K75" i="21"/>
  <c r="N75" i="21"/>
  <c r="K76" i="21"/>
  <c r="N76" i="21"/>
  <c r="K77" i="21"/>
  <c r="N77" i="21"/>
  <c r="K78" i="21"/>
  <c r="N78" i="21"/>
  <c r="K79" i="21"/>
  <c r="N79" i="21"/>
  <c r="K80" i="21"/>
  <c r="N80" i="21"/>
  <c r="K81" i="21"/>
  <c r="N81" i="21"/>
  <c r="K82" i="21"/>
  <c r="N82" i="21"/>
  <c r="K83" i="21"/>
  <c r="N83" i="21"/>
  <c r="K84" i="21"/>
  <c r="N84" i="21"/>
  <c r="K85" i="21"/>
  <c r="N85" i="21"/>
  <c r="K86" i="21"/>
  <c r="N86" i="21"/>
  <c r="K87" i="21"/>
  <c r="N87" i="21"/>
  <c r="K88" i="21"/>
  <c r="N88" i="21"/>
  <c r="K89" i="21"/>
  <c r="N89" i="21"/>
  <c r="K90" i="21"/>
  <c r="N90" i="21"/>
  <c r="K91" i="21"/>
  <c r="N91" i="21"/>
  <c r="K92" i="21"/>
  <c r="N92" i="21"/>
  <c r="K93" i="21"/>
  <c r="N93" i="21"/>
  <c r="K94" i="21"/>
  <c r="N94" i="21"/>
  <c r="K95" i="21"/>
  <c r="N95" i="21"/>
  <c r="K96" i="21"/>
  <c r="N96" i="21"/>
  <c r="K97" i="21"/>
  <c r="N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K105" i="21"/>
  <c r="N105" i="21"/>
  <c r="K106" i="21"/>
  <c r="N106" i="21"/>
  <c r="K107" i="21"/>
  <c r="N107" i="21"/>
  <c r="K108" i="21"/>
  <c r="N108" i="21"/>
  <c r="K109" i="21"/>
  <c r="N109" i="21"/>
  <c r="K110" i="21"/>
  <c r="N110" i="21"/>
  <c r="K111" i="21"/>
  <c r="N111" i="21"/>
  <c r="K112" i="21"/>
  <c r="N112" i="21"/>
  <c r="K113" i="21"/>
  <c r="N113" i="21"/>
  <c r="K114" i="21"/>
  <c r="N114" i="21"/>
  <c r="K115" i="21"/>
  <c r="N115" i="21"/>
  <c r="K116" i="21"/>
  <c r="N116" i="21"/>
  <c r="K117" i="21"/>
  <c r="N117" i="21"/>
  <c r="K118" i="21"/>
  <c r="N118" i="21"/>
  <c r="K119" i="21"/>
  <c r="N119" i="21"/>
  <c r="K120" i="21"/>
  <c r="N120" i="21"/>
  <c r="K121" i="21"/>
  <c r="N121" i="21"/>
  <c r="K122" i="21"/>
  <c r="N122" i="21"/>
  <c r="K123" i="21"/>
  <c r="N123" i="21"/>
  <c r="K124" i="21"/>
  <c r="N124" i="21"/>
  <c r="K125" i="21"/>
  <c r="N125" i="21"/>
  <c r="K126" i="21"/>
  <c r="N126" i="21"/>
  <c r="K127" i="21"/>
  <c r="N127" i="21"/>
  <c r="K128" i="21"/>
  <c r="N128" i="21"/>
  <c r="K129" i="21"/>
  <c r="N129" i="21"/>
  <c r="K130" i="21"/>
  <c r="N130" i="21"/>
  <c r="K131" i="21"/>
  <c r="N131" i="21"/>
  <c r="K132" i="21"/>
  <c r="N132" i="21"/>
  <c r="K133" i="21"/>
  <c r="N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K141" i="21"/>
  <c r="N141" i="21"/>
  <c r="K142" i="21"/>
  <c r="N142" i="21"/>
  <c r="K143" i="21"/>
  <c r="N143" i="21"/>
  <c r="K144" i="21"/>
  <c r="N144" i="21"/>
  <c r="K145" i="21"/>
  <c r="N145" i="21"/>
  <c r="K146" i="21"/>
  <c r="N146" i="21"/>
  <c r="K147" i="21"/>
  <c r="N147" i="21"/>
  <c r="K148" i="21"/>
  <c r="N148" i="21"/>
  <c r="K149" i="21"/>
  <c r="N149" i="21"/>
  <c r="K150" i="21"/>
  <c r="N150" i="21"/>
  <c r="K151" i="21"/>
  <c r="N151" i="21"/>
  <c r="K152" i="21"/>
  <c r="N152" i="21"/>
  <c r="K153" i="21"/>
  <c r="N153" i="21"/>
  <c r="K154" i="21"/>
  <c r="N154" i="21"/>
  <c r="K155" i="21"/>
  <c r="N155" i="21"/>
  <c r="K156" i="21"/>
  <c r="N156" i="21"/>
  <c r="K157" i="21"/>
  <c r="N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K165" i="21"/>
  <c r="N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K194" i="21"/>
  <c r="N194" i="21"/>
  <c r="K195" i="21"/>
  <c r="N195" i="21"/>
  <c r="K196" i="21"/>
  <c r="N196" i="21"/>
  <c r="K197" i="21"/>
  <c r="N197" i="21"/>
  <c r="K198" i="21"/>
  <c r="N198" i="21"/>
  <c r="K199" i="21"/>
  <c r="N199" i="21"/>
  <c r="K200" i="21"/>
  <c r="N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G47" i="5"/>
  <c r="D48" i="5"/>
  <c r="E48" i="5"/>
  <c r="F48" i="5"/>
  <c r="G48" i="5"/>
  <c r="D49" i="5"/>
  <c r="E49" i="5"/>
  <c r="F49" i="5"/>
  <c r="D52" i="5"/>
  <c r="E52" i="5"/>
  <c r="Z2" i="16"/>
  <c r="AF2" i="16"/>
  <c r="AK2" i="16"/>
  <c r="AL2" i="16"/>
  <c r="AU2" i="16"/>
  <c r="AV2" i="16"/>
  <c r="Z3" i="16"/>
  <c r="AF3" i="16"/>
  <c r="AK3" i="16"/>
  <c r="AL3" i="16"/>
  <c r="AU3" i="16"/>
  <c r="AV3" i="16"/>
  <c r="Z4" i="16"/>
  <c r="AF4" i="16"/>
  <c r="AK4" i="16"/>
  <c r="AL4" i="16"/>
  <c r="AU4" i="16"/>
  <c r="AV4" i="16"/>
  <c r="Z5" i="16"/>
  <c r="AF5" i="16"/>
  <c r="AK5" i="16"/>
  <c r="AL5" i="16"/>
  <c r="AU5" i="16"/>
  <c r="AV5" i="16"/>
  <c r="Z6" i="16"/>
  <c r="AF6" i="16"/>
  <c r="AK6" i="16"/>
  <c r="AL6" i="16"/>
  <c r="AU6" i="16"/>
  <c r="AV6" i="16"/>
  <c r="Z7" i="16"/>
  <c r="AF7" i="16"/>
  <c r="AK7" i="16"/>
  <c r="AL7" i="16"/>
  <c r="AU7" i="16"/>
  <c r="AV7" i="16"/>
  <c r="Z8" i="16"/>
  <c r="AF8" i="16"/>
  <c r="AK8" i="16"/>
  <c r="AL8" i="16"/>
  <c r="AU8" i="16"/>
  <c r="AV8" i="16"/>
  <c r="Z9" i="16"/>
  <c r="AF9" i="16"/>
  <c r="AK9" i="16"/>
  <c r="AL9" i="16"/>
  <c r="AU9" i="16"/>
  <c r="AV9" i="16"/>
  <c r="Z10" i="16"/>
  <c r="AF10" i="16"/>
  <c r="Z11" i="16"/>
  <c r="AF11" i="16"/>
  <c r="Z12" i="16"/>
  <c r="AF12" i="16"/>
  <c r="AU12" i="16"/>
  <c r="Z13" i="16"/>
  <c r="AF13" i="16"/>
  <c r="Y14" i="16"/>
  <c r="AE14" i="16"/>
  <c r="Y15" i="16"/>
  <c r="AE15" i="16"/>
  <c r="Y16" i="16"/>
  <c r="AE16" i="16"/>
  <c r="Y17" i="16"/>
  <c r="AE17" i="16"/>
  <c r="Y18" i="16"/>
  <c r="AE18" i="16"/>
  <c r="Y19" i="16"/>
  <c r="AE19" i="16"/>
  <c r="Y20" i="16"/>
  <c r="AE20" i="16"/>
  <c r="Y21" i="16"/>
  <c r="AE21" i="16"/>
  <c r="Y22" i="16"/>
  <c r="AE22" i="16"/>
  <c r="Y23" i="16"/>
  <c r="AE23" i="16"/>
  <c r="Y24" i="16"/>
  <c r="AE24" i="16"/>
  <c r="Y25" i="16"/>
  <c r="AE25" i="16"/>
  <c r="Z26" i="16"/>
  <c r="AF26" i="16"/>
  <c r="Z27" i="16"/>
  <c r="AF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Z38" i="16"/>
  <c r="AF38" i="16"/>
  <c r="Z39" i="16"/>
  <c r="AF39" i="16"/>
  <c r="Z40" i="16"/>
  <c r="AF40" i="16"/>
  <c r="Z41" i="16"/>
  <c r="AF41" i="16"/>
  <c r="Z42" i="16"/>
  <c r="AF42" i="16"/>
  <c r="Z43" i="16"/>
  <c r="AF43" i="16"/>
  <c r="Z44" i="16"/>
  <c r="AF44" i="16"/>
  <c r="Z45" i="16"/>
  <c r="AF45" i="16"/>
  <c r="Z46" i="16"/>
  <c r="AF46" i="16"/>
  <c r="Z47" i="16"/>
  <c r="AF47" i="16"/>
  <c r="Z48" i="16"/>
  <c r="AF48" i="16"/>
  <c r="Z49" i="16"/>
  <c r="AF49" i="16"/>
  <c r="Y50" i="16"/>
  <c r="AE50" i="16"/>
  <c r="Y51" i="16"/>
  <c r="AE51" i="16"/>
  <c r="Y52" i="16"/>
  <c r="AE52" i="16"/>
  <c r="Y53" i="16"/>
  <c r="AE53" i="16"/>
  <c r="Y54" i="16"/>
  <c r="AE54" i="16"/>
  <c r="Y55" i="16"/>
  <c r="AE55" i="16"/>
  <c r="Y56" i="16"/>
  <c r="AE56" i="16"/>
  <c r="Y57" i="16"/>
  <c r="AE57" i="16"/>
  <c r="Y58" i="16"/>
  <c r="AE58" i="16"/>
  <c r="Y59" i="16"/>
  <c r="AE59" i="16"/>
  <c r="Y60" i="16"/>
  <c r="AE60" i="16"/>
  <c r="Y61" i="16"/>
  <c r="AE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Z68" i="16"/>
  <c r="AF68" i="16"/>
  <c r="Z69" i="16"/>
  <c r="AF69" i="16"/>
  <c r="Z70" i="16"/>
  <c r="AF70" i="16"/>
  <c r="Z71" i="16"/>
  <c r="AF71" i="16"/>
  <c r="Z72" i="16"/>
  <c r="AF72" i="16"/>
  <c r="Z73" i="16"/>
  <c r="AF73" i="16"/>
  <c r="Z74" i="16"/>
  <c r="AF74" i="16"/>
  <c r="Z75" i="16"/>
  <c r="AF75" i="16"/>
  <c r="Z76" i="16"/>
  <c r="AF76" i="16"/>
  <c r="Z77" i="16"/>
  <c r="AF77" i="16"/>
  <c r="Z78" i="16"/>
  <c r="AF78" i="16"/>
  <c r="Z79" i="16"/>
  <c r="AF79" i="16"/>
  <c r="Z80" i="16"/>
  <c r="AF80" i="16"/>
  <c r="Z81" i="16"/>
  <c r="AF81" i="16"/>
  <c r="Z82" i="16"/>
  <c r="AF82" i="16"/>
  <c r="Z83" i="16"/>
  <c r="AF83" i="16"/>
  <c r="Z84" i="16"/>
  <c r="AF84" i="16"/>
  <c r="Z85" i="16"/>
  <c r="AF85" i="16"/>
  <c r="Z86" i="16"/>
  <c r="AF86" i="16"/>
  <c r="Z87" i="16"/>
  <c r="AF87" i="16"/>
  <c r="Z88" i="16"/>
  <c r="AF88" i="16"/>
  <c r="Z89" i="16"/>
  <c r="AF89" i="16"/>
  <c r="Z90" i="16"/>
  <c r="AF90" i="16"/>
  <c r="Z91" i="16"/>
  <c r="AF91" i="16"/>
  <c r="Z92" i="16"/>
  <c r="AF92" i="16"/>
  <c r="Z93" i="16"/>
  <c r="AF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Z110" i="16"/>
  <c r="AF110" i="16"/>
  <c r="Z111" i="16"/>
  <c r="AF111" i="16"/>
  <c r="Z112" i="16"/>
  <c r="AF112" i="16"/>
  <c r="Z113" i="16"/>
  <c r="AF113" i="16"/>
  <c r="Z114" i="16"/>
  <c r="AF114" i="16"/>
  <c r="Z115" i="16"/>
  <c r="AF115" i="16"/>
  <c r="Z116" i="16"/>
  <c r="AF116" i="16"/>
  <c r="Z117" i="16"/>
  <c r="AF117" i="16"/>
  <c r="Z118" i="16"/>
  <c r="AF118" i="16"/>
  <c r="Z119" i="16"/>
  <c r="AF119" i="16"/>
  <c r="Z120" i="16"/>
  <c r="AF120" i="16"/>
  <c r="Z121" i="16"/>
  <c r="AF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Z2" i="17"/>
  <c r="AE2" i="17"/>
  <c r="Z3" i="17"/>
  <c r="AE3" i="17"/>
  <c r="Z4" i="17"/>
  <c r="AE4" i="17"/>
  <c r="Z5" i="17"/>
  <c r="AE5" i="17"/>
  <c r="AJ5" i="17"/>
  <c r="Z6" i="17"/>
  <c r="AE6" i="17"/>
  <c r="AJ6" i="17"/>
  <c r="Z7" i="17"/>
  <c r="AE7" i="17"/>
  <c r="AJ7" i="17"/>
  <c r="Z8" i="17"/>
  <c r="AE8" i="17"/>
  <c r="AJ8" i="17"/>
  <c r="Z9" i="17"/>
  <c r="AE9" i="17"/>
  <c r="Z10" i="17"/>
  <c r="AE10" i="17"/>
  <c r="Z11" i="17"/>
  <c r="AE11" i="17"/>
  <c r="Z12" i="17"/>
  <c r="AE12" i="17"/>
  <c r="AJ12" i="17"/>
  <c r="Z13" i="17"/>
  <c r="AE13" i="17"/>
  <c r="Z14" i="17"/>
  <c r="AE14" i="17"/>
  <c r="Z15" i="17"/>
  <c r="AE15" i="17"/>
  <c r="Z16" i="17"/>
  <c r="AE16" i="17"/>
  <c r="Z17" i="17"/>
  <c r="AE17" i="17"/>
  <c r="Z18" i="17"/>
  <c r="AE18" i="17"/>
  <c r="Z19" i="17"/>
  <c r="AE19" i="17"/>
  <c r="Z20" i="17"/>
  <c r="AE20" i="17"/>
  <c r="Z21" i="17"/>
  <c r="AE21" i="17"/>
  <c r="Z22" i="17"/>
  <c r="AE22" i="17"/>
  <c r="Z23" i="17"/>
  <c r="AE23" i="17"/>
  <c r="Z24" i="17"/>
  <c r="AE24" i="17"/>
  <c r="Z25" i="17"/>
  <c r="AE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F26E30AE-449F-4A63-9E2A-6B0966478792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D6675-6F28-4646-998B-259CEE20F6AB}" name="Conexão" type="7" refreshedVersion="8" background="1" saveData="1"/>
  <connection id="2" xr16:uid="{9CB86E87-77AA-4523-83E7-EF4AE5AAF4EB}" name="Conexão1" type="7" refreshedVersion="8" background="1" saveData="1"/>
  <connection id="3" xr16:uid="{949CD839-772D-41A0-85D6-FD74A003C7DA}" name="Conexão2" type="7" refreshedVersion="8" background="1" saveData="1"/>
</connections>
</file>

<file path=xl/sharedStrings.xml><?xml version="1.0" encoding="utf-8"?>
<sst xmlns="http://schemas.openxmlformats.org/spreadsheetml/2006/main" count="19844" uniqueCount="1100">
  <si>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</si>
  <si>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</si>
  <si>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</si>
  <si>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</si>
  <si>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</si>
  <si>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</si>
  <si>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</si>
  <si>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</si>
  <si>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</si>
  <si>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</si>
  <si>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</si>
  <si>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</si>
  <si>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</si>
  <si>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</si>
  <si>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</si>
  <si>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</si>
  <si>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</si>
  <si>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</si>
  <si>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</si>
  <si>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</si>
  <si>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</si>
  <si>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</si>
  <si>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</si>
  <si>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</si>
  <si>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</si>
  <si>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</si>
  <si>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</si>
  <si>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</si>
  <si>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</si>
  <si>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</si>
  <si>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</si>
  <si>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</si>
  <si>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</si>
  <si>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</si>
  <si>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</si>
  <si>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</si>
  <si>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</si>
  <si>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</si>
  <si>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</si>
  <si>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Comercial</t>
  </si>
  <si>
    <t>Branca</t>
  </si>
  <si>
    <t>Intermediário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</si>
  <si>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</si>
  <si>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</si>
  <si>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</si>
  <si>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</si>
  <si>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</si>
  <si>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</si>
  <si>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</si>
  <si>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</si>
  <si>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</si>
  <si>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</si>
  <si>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</si>
  <si>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</si>
  <si>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Aquicultura</t>
  </si>
  <si>
    <t>PROJETADO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</si>
  <si>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</si>
  <si>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</si>
  <si>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</si>
  <si>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</si>
  <si>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</si>
  <si>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</si>
  <si>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</si>
  <si>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</si>
  <si>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</si>
  <si>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</si>
  <si>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</si>
  <si>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</si>
  <si>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</si>
  <si>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</si>
  <si>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</si>
  <si>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</si>
  <si>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</si>
  <si>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</si>
  <si>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</si>
  <si>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Azul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</si>
  <si>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</si>
  <si>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</si>
  <si>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</si>
  <si>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</si>
  <si>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</si>
  <si>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</si>
  <si>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</si>
  <si>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</si>
  <si>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</si>
  <si>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</si>
  <si>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</si>
  <si>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</si>
  <si>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</si>
  <si>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</si>
  <si>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</si>
  <si>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</si>
  <si>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</si>
  <si>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</si>
  <si>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</si>
  <si>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</si>
  <si>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</si>
  <si>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</si>
  <si>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</si>
  <si>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</si>
  <si>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</si>
  <si>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</si>
  <si>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</si>
  <si>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</si>
  <si>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</si>
  <si>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</si>
  <si>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</si>
  <si>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</si>
  <si>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</si>
  <si>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</si>
  <si>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</si>
  <si>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</si>
  <si>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</si>
  <si>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</si>
  <si>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</si>
  <si>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</si>
  <si>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</si>
  <si>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</si>
  <si>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</si>
  <si>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</si>
  <si>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</si>
  <si>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</si>
  <si>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</si>
  <si>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</si>
  <si>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</si>
  <si>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</si>
  <si>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</si>
  <si>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</si>
  <si>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</si>
  <si>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</si>
  <si>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</si>
  <si>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</si>
  <si>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</si>
  <si>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</si>
  <si>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</si>
  <si>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</si>
  <si>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</si>
  <si>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</si>
  <si>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</si>
  <si>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</si>
  <si>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</si>
  <si>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</si>
  <si>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</si>
  <si>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</si>
  <si>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</si>
  <si>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</si>
  <si>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</si>
  <si>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</si>
  <si>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</si>
  <si>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</si>
  <si>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</si>
  <si>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</si>
  <si>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</si>
  <si>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</si>
  <si>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</si>
  <si>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</si>
  <si>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</si>
  <si>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</si>
  <si>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</si>
  <si>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</si>
  <si>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</si>
  <si>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</si>
  <si>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</si>
  <si>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</si>
  <si>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</si>
  <si>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</si>
  <si>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</si>
  <si>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</si>
  <si>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</si>
  <si>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</si>
  <si>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</si>
  <si>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</si>
  <si>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</si>
  <si>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</si>
  <si>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</si>
  <si>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</si>
  <si>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</si>
  <si>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</si>
  <si>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</si>
  <si>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</si>
  <si>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</si>
  <si>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</si>
  <si>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</si>
  <si>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</si>
  <si>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</si>
  <si>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</si>
  <si>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</si>
  <si>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</si>
  <si>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</si>
  <si>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</si>
  <si>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</si>
  <si>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</si>
  <si>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</si>
  <si>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</si>
  <si>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</si>
  <si>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</si>
  <si>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</si>
  <si>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</si>
  <si>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</si>
  <si>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</si>
  <si>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</si>
  <si>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</si>
  <si>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</si>
  <si>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</si>
  <si>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</si>
  <si>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</si>
  <si>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</si>
  <si>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</si>
  <si>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</si>
  <si>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</si>
  <si>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</si>
  <si>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</si>
  <si>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</si>
  <si>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</si>
  <si>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</si>
  <si>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</si>
  <si>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</si>
  <si>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</si>
  <si>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</si>
  <si>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</si>
  <si>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</si>
  <si>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</si>
  <si>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</si>
  <si>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</si>
  <si>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</si>
  <si>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</si>
  <si>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</si>
  <si>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</si>
  <si>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</si>
  <si>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</si>
  <si>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</si>
  <si>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</si>
  <si>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</si>
  <si>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</si>
  <si>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</si>
  <si>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</si>
  <si>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</si>
  <si>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</si>
  <si>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</si>
  <si>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</si>
  <si>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</si>
  <si>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</si>
  <si>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</si>
  <si>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</si>
  <si>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</si>
  <si>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</si>
  <si>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</si>
  <si>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</si>
  <si>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</si>
  <si>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</si>
  <si>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</si>
  <si>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</si>
  <si>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</si>
  <si>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</si>
  <si>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</si>
  <si>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</si>
  <si>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</si>
  <si>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</si>
  <si>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</si>
  <si>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</si>
  <si>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</si>
  <si>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</si>
  <si>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</si>
  <si>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</si>
  <si>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</si>
  <si>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</si>
  <si>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</si>
  <si>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</si>
  <si>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</si>
  <si>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</si>
  <si>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</si>
  <si>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</si>
  <si>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</si>
  <si>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</si>
  <si>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</si>
  <si>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</si>
  <si>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</si>
  <si>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</si>
  <si>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</si>
  <si>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</si>
  <si>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</si>
  <si>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</si>
  <si>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</si>
  <si>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</si>
  <si>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</si>
  <si>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</si>
  <si>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</si>
  <si>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</si>
  <si>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</si>
  <si>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</si>
  <si>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</si>
  <si>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</si>
  <si>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</si>
  <si>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</si>
  <si>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</si>
  <si>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</si>
  <si>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</si>
  <si>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</si>
  <si>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</si>
  <si>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</si>
  <si>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</si>
  <si>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</si>
  <si>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</si>
  <si>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</si>
  <si>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</si>
  <si>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</si>
  <si>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</si>
  <si>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</si>
  <si>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</si>
  <si>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</si>
  <si>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</si>
  <si>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</si>
  <si>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</si>
  <si>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</si>
  <si>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</si>
  <si>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</si>
  <si>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</si>
  <si>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</si>
  <si>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</si>
  <si>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</si>
  <si>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</si>
  <si>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</si>
  <si>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</si>
  <si>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</si>
  <si>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</si>
  <si>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</si>
  <si>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</si>
  <si>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</si>
  <si>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</si>
  <si>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</si>
  <si>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</si>
  <si>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</si>
  <si>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</si>
  <si>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</si>
  <si>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</si>
  <si>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</si>
  <si>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</si>
  <si>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</si>
  <si>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</si>
  <si>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</si>
  <si>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</si>
  <si>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</si>
  <si>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</si>
  <si>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</si>
  <si>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</si>
  <si>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</si>
  <si>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</si>
  <si>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</si>
  <si>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</si>
  <si>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</si>
  <si>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</si>
  <si>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</si>
  <si>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</si>
  <si>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</si>
  <si>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</si>
  <si>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</si>
  <si>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</si>
  <si>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</si>
  <si>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</si>
  <si>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</si>
  <si>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</si>
  <si>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</si>
  <si>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</si>
  <si>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</si>
  <si>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</si>
  <si>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</si>
  <si>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</si>
  <si>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</si>
  <si>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</si>
  <si>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</si>
  <si>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</si>
  <si>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</si>
  <si>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</si>
  <si>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</si>
  <si>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</si>
  <si>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</si>
  <si>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</si>
  <si>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</si>
  <si>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</si>
  <si>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</si>
  <si>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</si>
  <si>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</si>
  <si>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</si>
  <si>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</si>
  <si>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</si>
  <si>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</si>
  <si>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</si>
  <si>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</si>
  <si>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</si>
  <si>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</si>
  <si>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</si>
  <si>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</si>
  <si>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</si>
  <si>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</si>
  <si>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</si>
  <si>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</si>
  <si>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</si>
  <si>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</si>
  <si>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</si>
  <si>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</si>
  <si>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</si>
  <si>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</si>
  <si>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</si>
  <si>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</si>
  <si>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</si>
  <si>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</si>
  <si>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</si>
  <si>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</si>
  <si>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</si>
  <si>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</si>
  <si>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</si>
  <si>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</si>
  <si>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</si>
  <si>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</si>
  <si>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</si>
  <si>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</si>
  <si>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</si>
  <si>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</si>
  <si>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</si>
  <si>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</si>
  <si>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</si>
  <si>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</si>
  <si>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</si>
  <si>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</si>
  <si>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</si>
  <si>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</si>
  <si>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</si>
  <si>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</si>
  <si>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</si>
  <si>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</si>
  <si>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</si>
  <si>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</si>
  <si>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</si>
  <si>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</si>
  <si>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</si>
  <si>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</si>
  <si>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</si>
  <si>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</si>
  <si>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</si>
  <si>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</si>
  <si>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</si>
  <si>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</si>
  <si>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</si>
  <si>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</si>
  <si>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</si>
  <si>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</si>
  <si>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</si>
  <si>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</si>
  <si>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</si>
  <si>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</si>
  <si>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</si>
  <si>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</si>
  <si>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</si>
  <si>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</si>
  <si>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</si>
  <si>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</si>
  <si>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</si>
  <si>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</si>
  <si>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</si>
  <si>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</si>
  <si>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</si>
  <si>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</si>
  <si>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</si>
  <si>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</si>
  <si>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</si>
  <si>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</si>
  <si>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</si>
  <si>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</si>
  <si>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</si>
  <si>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</si>
  <si>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</si>
  <si>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</si>
  <si>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</si>
  <si>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</si>
  <si>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</si>
  <si>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</si>
  <si>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</si>
  <si>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</si>
  <si>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</si>
  <si>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</si>
  <si>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</si>
  <si>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</si>
  <si>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</si>
  <si>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</si>
  <si>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</si>
  <si>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</si>
  <si>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</si>
  <si>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</si>
  <si>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</si>
  <si>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</si>
  <si>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</si>
  <si>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</si>
  <si>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</si>
  <si>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</si>
  <si>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</si>
  <si>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</si>
  <si>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</si>
  <si>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</si>
  <si>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</si>
  <si>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</si>
  <si>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</si>
  <si>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</si>
  <si>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</si>
  <si>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</si>
  <si>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</si>
  <si>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</si>
  <si>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</si>
  <si>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</si>
  <si>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</si>
  <si>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</si>
  <si>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</si>
  <si>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</si>
  <si>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</si>
  <si>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</si>
  <si>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</si>
  <si>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</si>
  <si>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</si>
  <si>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</si>
  <si>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</si>
  <si>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</si>
  <si>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</si>
  <si>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</si>
  <si>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</si>
  <si>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2.946,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</si>
  <si>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</si>
  <si>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</si>
  <si>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</si>
  <si>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</si>
  <si>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</si>
  <si>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</si>
  <si>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</si>
  <si>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</si>
  <si>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</si>
  <si>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</si>
  <si>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</si>
  <si>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</si>
  <si>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</si>
  <si>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</si>
  <si>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</si>
  <si>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</si>
  <si>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</si>
  <si>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</si>
  <si>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</si>
  <si>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</si>
  <si>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</si>
  <si>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</si>
  <si>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</si>
  <si>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</si>
  <si>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</si>
  <si>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</si>
  <si>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</si>
  <si>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</si>
  <si>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</si>
  <si>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</si>
  <si>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</si>
  <si>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</si>
  <si>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</si>
  <si>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</si>
  <si>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</si>
  <si>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</si>
  <si>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</si>
  <si>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</si>
  <si>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</si>
  <si>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</si>
  <si>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</si>
  <si>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</si>
  <si>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</si>
  <si>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</si>
  <si>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Potência</t>
  </si>
  <si>
    <t>Ativa</t>
  </si>
  <si>
    <t>Energia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</si>
  <si>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</si>
  <si>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</si>
  <si>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</si>
  <si>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</si>
  <si>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</si>
  <si>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</si>
  <si>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</si>
  <si>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</si>
  <si>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</si>
  <si>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</si>
  <si>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</si>
  <si>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</si>
  <si>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</si>
  <si>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</si>
  <si>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</si>
  <si>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</si>
  <si>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</si>
  <si>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</si>
  <si>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</si>
  <si>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</si>
  <si>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</si>
  <si>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</si>
  <si>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</si>
  <si>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</si>
  <si>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</si>
  <si>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</si>
  <si>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</si>
  <si>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</si>
  <si>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</si>
  <si>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</si>
  <si>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</si>
  <si>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</si>
  <si>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</si>
  <si>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</si>
  <si>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</si>
  <si>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</si>
  <si>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</si>
  <si>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</si>
  <si>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</si>
  <si>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</si>
  <si>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</si>
  <si>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</si>
  <si>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</si>
  <si>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</si>
  <si>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</si>
  <si>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</si>
  <si>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</si>
  <si>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</si>
  <si>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</si>
  <si>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</si>
  <si>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</si>
  <si>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</si>
  <si>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</si>
  <si>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BAIXA RENDA</t>
  </si>
  <si>
    <t>SUBSIDIO RURAL</t>
  </si>
  <si>
    <t>SUBSIDIO IRRIGANTE/AQUICULTOR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</si>
  <si>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</si>
  <si>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</si>
  <si>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</si>
  <si>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</si>
  <si>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</si>
  <si>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</si>
  <si>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</si>
  <si>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</si>
  <si>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</si>
  <si>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</si>
  <si>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</si>
  <si>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</si>
  <si>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</si>
  <si>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</si>
  <si>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Verde1Serviço públicoÁgua, esgoto e saneamentoPlanilha CUSTOA4</t>
  </si>
  <si>
    <t>2021</t>
  </si>
  <si>
    <t>Convencional 1Serviço públicoÁgua, esgoto e saneamentoPlanilha CUSTOA4</t>
  </si>
  <si>
    <t>Convencional1Serviço públicoÁgua, esgoto e saneamentoPlanilha CUSTOB3</t>
  </si>
  <si>
    <t>Branca1Serviço públicoÁgua, esgoto e saneamentoPlanilha CUSTOB3</t>
  </si>
  <si>
    <t>Convencional1RuralCooperativa de eletrificação ruralPlanilha CUSTOB2</t>
  </si>
  <si>
    <t>Branca 1RuralCooperativa de eletrificação ruralPlanilha CUSTOB2</t>
  </si>
  <si>
    <t>Azul1RuralNão se aplicaPlanilha CustoA4</t>
  </si>
  <si>
    <t>Verde1RuralNão se aplicaPlanilha CustoA4</t>
  </si>
  <si>
    <t>Convencional1RuralNão se aplicaPlanilha CustoA4</t>
  </si>
  <si>
    <t>Convencional1RuralNão se aplicaRuralB2</t>
  </si>
  <si>
    <t>Branca1RuralNão se aplicaRuralB2</t>
  </si>
  <si>
    <t>Convencional1RuralServiço público de irrigação ruralPlanilha CUSTOB2</t>
  </si>
  <si>
    <t>Branca 1RuralServiço público de irrigação ruralPlanilha CUSTOB2</t>
  </si>
  <si>
    <t>Azul1Serviço públicoÁgua, esgoto e saneamentoPlanilha CUSTOA4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</si>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</sst>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67" fontId="1" fillId="0" borderId="0" xfId="0" applyNumberFormat="1" applyFont="1" applyAlignment="1">
      <alignment horizontal="center" vertical="center"/>
    </xf>
    <xf numFmtId="167" fontId="3" fillId="0" borderId="0" xfId="0" applyNumberFormat="1" applyFont="1"/>
    <xf numFmtId="10" fontId="3" fillId="0" borderId="0" xfId="0" applyNumberFormat="1" applyFont="1"/>
    <xf numFmtId="2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5" xfId="0" applyFont="1" applyFill="1" applyBorder="1" applyAlignment="1">
      <alignment horizontal="center" vertical="center"/>
    </xf>
    <xf numFmtId="40" fontId="7" fillId="3" borderId="14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0" fillId="6" borderId="17" xfId="0" applyNumberFormat="1" applyFont="1" applyFill="1" applyBorder="1"/>
    <xf numFmtId="4" fontId="10" fillId="6" borderId="12" xfId="0" applyNumberFormat="1" applyFont="1" applyFill="1" applyBorder="1"/>
    <xf numFmtId="4" fontId="10" fillId="6" borderId="18" xfId="0" applyNumberFormat="1" applyFont="1" applyFill="1" applyBorder="1"/>
    <xf numFmtId="4" fontId="10" fillId="6" borderId="6" xfId="0" applyNumberFormat="1" applyFont="1" applyFill="1" applyBorder="1"/>
    <xf numFmtId="4" fontId="10" fillId="6" borderId="13" xfId="0" applyNumberFormat="1" applyFont="1" applyFill="1" applyBorder="1"/>
    <xf numFmtId="4" fontId="10" fillId="6" borderId="5" xfId="0" applyNumberFormat="1" applyFont="1" applyFill="1" applyBorder="1"/>
    <xf numFmtId="4" fontId="10" fillId="6" borderId="19" xfId="0" applyNumberFormat="1" applyFont="1" applyFill="1" applyBorder="1"/>
    <xf numFmtId="4" fontId="10" fillId="6" borderId="10" xfId="0" applyNumberFormat="1" applyFont="1" applyFill="1" applyBorder="1"/>
    <xf numFmtId="4" fontId="10" fillId="6" borderId="16" xfId="0" applyNumberFormat="1" applyFont="1" applyFill="1" applyBorder="1"/>
    <xf numFmtId="4" fontId="10" fillId="6" borderId="13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  <xf numFmtId="4" fontId="10" fillId="6" borderId="18" xfId="0" applyNumberFormat="1" applyFont="1" applyFill="1" applyBorder="1" applyAlignment="1">
      <alignment horizontal="center"/>
    </xf>
    <xf numFmtId="4" fontId="10" fillId="6" borderId="18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849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General</c:formatCode>
                <c:ptCount val="22"/>
                <c:pt idx="0">
                  <c:v>0</c:v>
                </c:pt>
                <c:pt idx="1">
                  <c:v>1.1887004884362758E-3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0.1013350028347081</c:v>
                </c:pt>
                <c:pt idx="6">
                  <c:v>1.8631803244497289E-2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9.6081154268146327E-2</c:v>
                </c:pt>
                <c:pt idx="13">
                  <c:v>0</c:v>
                </c:pt>
                <c:pt idx="14">
                  <c:v>0</c:v>
                </c:pt>
                <c:pt idx="15">
                  <c:v>0.24633240798150838</c:v>
                </c:pt>
                <c:pt idx="16">
                  <c:v>0</c:v>
                </c:pt>
                <c:pt idx="17">
                  <c:v>0</c:v>
                </c:pt>
                <c:pt idx="18">
                  <c:v>-1.4312506013124027E-3</c:v>
                </c:pt>
                <c:pt idx="19">
                  <c:v>1.8444925124070255E-4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3E-4AA4-939B-1C7E73A9FD62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General</c:formatCode>
                <c:ptCount val="22"/>
                <c:pt idx="0">
                  <c:v>0</c:v>
                </c:pt>
                <c:pt idx="1">
                  <c:v>9.2677054601661662E-4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0.10346339998565779</c:v>
                </c:pt>
                <c:pt idx="6">
                  <c:v>2.1111592624383779E-2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9.8083355630951816E-2</c:v>
                </c:pt>
                <c:pt idx="13">
                  <c:v>0</c:v>
                </c:pt>
                <c:pt idx="14">
                  <c:v>0</c:v>
                </c:pt>
                <c:pt idx="15">
                  <c:v>0.21167254960241316</c:v>
                </c:pt>
                <c:pt idx="16">
                  <c:v>0</c:v>
                </c:pt>
                <c:pt idx="17">
                  <c:v>0</c:v>
                </c:pt>
                <c:pt idx="18">
                  <c:v>-1.0769477221226184E-3</c:v>
                </c:pt>
                <c:pt idx="19">
                  <c:v>1.3142302059187359E-4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3E-4AA4-939B-1C7E73A9FD62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General</c:formatCode>
                <c:ptCount val="22"/>
                <c:pt idx="0">
                  <c:v>0</c:v>
                </c:pt>
                <c:pt idx="1">
                  <c:v>9.2677054601661662E-4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0.10346339998565779</c:v>
                </c:pt>
                <c:pt idx="6">
                  <c:v>2.1111592624383779E-2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9.8083355630951816E-2</c:v>
                </c:pt>
                <c:pt idx="13">
                  <c:v>0</c:v>
                </c:pt>
                <c:pt idx="14">
                  <c:v>0</c:v>
                </c:pt>
                <c:pt idx="15">
                  <c:v>0.21167254960241316</c:v>
                </c:pt>
                <c:pt idx="16">
                  <c:v>0</c:v>
                </c:pt>
                <c:pt idx="17">
                  <c:v>0</c:v>
                </c:pt>
                <c:pt idx="18">
                  <c:v>-1.0769477221226184E-3</c:v>
                </c:pt>
                <c:pt idx="19">
                  <c:v>1.3142302059187359E-4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3E-4AA4-939B-1C7E73A9FD62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2A3E-4AA4-939B-1C7E73A9FD62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2A3E-4AA4-939B-1C7E73A9FD62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2A3E-4AA4-939B-1C7E73A9F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764592"/>
        <c:axId val="383763608"/>
      </c:radarChart>
      <c:catAx>
        <c:axId val="3837645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83763608"/>
        <c:crosses val="autoZero"/>
        <c:auto val="1"/>
        <c:lblAlgn val="ctr"/>
        <c:lblOffset val="100"/>
        <c:noMultiLvlLbl val="0"/>
      </c:catAx>
      <c:valAx>
        <c:axId val="383763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8376459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General</c:formatCode>
                <c:ptCount val="11"/>
                <c:pt idx="0">
                  <c:v>0</c:v>
                </c:pt>
                <c:pt idx="1">
                  <c:v>0.11767154883855248</c:v>
                </c:pt>
                <c:pt idx="2">
                  <c:v>0</c:v>
                </c:pt>
                <c:pt idx="3">
                  <c:v>0</c:v>
                </c:pt>
                <c:pt idx="4">
                  <c:v>-5.7605085157531905E-2</c:v>
                </c:pt>
                <c:pt idx="5">
                  <c:v>-0.29322023671150754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2.7827698261527121E-2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2-4AAA-A02A-CACFB87E3827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General</c:formatCode>
                <c:ptCount val="11"/>
                <c:pt idx="0">
                  <c:v>0</c:v>
                </c:pt>
                <c:pt idx="1">
                  <c:v>0.11655667126912547</c:v>
                </c:pt>
                <c:pt idx="2">
                  <c:v>0</c:v>
                </c:pt>
                <c:pt idx="3">
                  <c:v>0</c:v>
                </c:pt>
                <c:pt idx="4">
                  <c:v>-5.7132359523548948E-2</c:v>
                </c:pt>
                <c:pt idx="5">
                  <c:v>-0.29887106859546503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2.7599335326779394E-2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2-4AAA-A02A-CACFB87E3827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General</c:formatCode>
                <c:ptCount val="11"/>
                <c:pt idx="0">
                  <c:v>0</c:v>
                </c:pt>
                <c:pt idx="1">
                  <c:v>0.11655667126912547</c:v>
                </c:pt>
                <c:pt idx="2">
                  <c:v>0</c:v>
                </c:pt>
                <c:pt idx="3">
                  <c:v>0</c:v>
                </c:pt>
                <c:pt idx="4">
                  <c:v>-5.7132359523548948E-2</c:v>
                </c:pt>
                <c:pt idx="5">
                  <c:v>-0.29887106859546503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2.7599335326779394E-2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2-4AAA-A02A-CACFB87E3827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21B2-4AAA-A02A-CACFB87E3827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21B2-4AAA-A02A-CACFB87E3827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21B2-4AAA-A02A-CACFB87E3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036216"/>
        <c:axId val="718037856"/>
      </c:radarChart>
      <c:catAx>
        <c:axId val="718036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18037856"/>
        <c:crosses val="autoZero"/>
        <c:auto val="1"/>
        <c:lblAlgn val="ctr"/>
        <c:lblOffset val="100"/>
        <c:noMultiLvlLbl val="0"/>
      </c:catAx>
      <c:valAx>
        <c:axId val="718037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8036216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C26AC-1F9D-C232-E6A1-05D266FDF7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295276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EBC0D3-1640-F848-957A-BDC24F0C15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758570138889" createdVersion="5" refreshedVersion="8" minRefreshableVersion="3" recordCount="390" xr:uid="{B89B7D79-065D-45E1-833B-ACF899D8F744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Verde"/>
        <s v="Convencional"/>
        <s v="Branca"/>
      </sharedItems>
    </cacheField>
    <cacheField name="Classe" numFmtId="0">
      <sharedItems count="8">
        <s v="Comercial"/>
        <s v="Industrial"/>
        <s v="Residencial"/>
        <s v="Rural"/>
        <s v="Consumo próprio"/>
        <s v="Poder público"/>
        <s v="Serviço público"/>
        <s v="Iluminação pública"/>
      </sharedItems>
    </cacheField>
    <cacheField name="Subclasse" numFmtId="0">
      <sharedItems count="10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Água, esgoto e saneamento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Não se aplica"/>
        <s v="Pont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6820"/>
    </cacheField>
    <cacheField name="Daj" numFmtId="40">
      <sharedItems containsSemiMixedTypes="0" containsString="0" containsNumber="1" containsInteger="1" minValue="0" maxValue="6820"/>
    </cacheField>
    <cacheField name="TUSD_E" numFmtId="40">
      <sharedItems containsSemiMixedTypes="0" containsString="0" containsNumber="1" minValue="-3.3889999999999998" maxValue="2710.4949999999999"/>
    </cacheField>
    <cacheField name="TUSD_Eaj" numFmtId="40">
      <sharedItems containsSemiMixedTypes="0" containsString="0" containsNumber="1" minValue="-3.3889999999999998" maxValue="2710.4949999999999"/>
    </cacheField>
    <cacheField name="TE_E" numFmtId="40">
      <sharedItems containsSemiMixedTypes="0" containsString="0" containsNumber="1" minValue="-3.3889999999999998" maxValue="2710.4949999999999"/>
    </cacheField>
    <cacheField name="TE_Eaj" numFmtId="40">
      <sharedItems containsSemiMixedTypes="0" containsString="0" containsNumber="1" minValue="-3.3889999999999998" maxValue="2710.4949999999999"/>
    </cacheField>
    <cacheField name="UC" numFmtId="40">
      <sharedItems containsSemiMixedTypes="0" containsString="0" containsNumber="1" containsInteger="1" minValue="0" maxValue="2847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6"/>
    </cacheField>
    <cacheField name="CóD. AUX. TUSD R$/MWh" numFmtId="40">
      <sharedItems containsSemiMixedTypes="0" containsString="0" containsNumber="1" containsInteger="1" minValue="0" maxValue="48"/>
    </cacheField>
    <cacheField name="CóD. AUX. TE R$/MWh" numFmtId="40">
      <sharedItems containsSemiMixedTypes="0" containsString="0" containsNumber="1" containsInteger="1" minValue="0" maxValue="86"/>
    </cacheField>
    <cacheField name="TUSD (R$/kW)" numFmtId="40">
      <sharedItems containsSemiMixedTypes="0" containsString="0" containsNumber="1" minValue="0" maxValue="21.06"/>
    </cacheField>
    <cacheField name="TUSD (R$/MWh)" numFmtId="40">
      <sharedItems containsSemiMixedTypes="0" containsString="0" containsNumber="1" minValue="0" maxValue="1568.04"/>
    </cacheField>
    <cacheField name="TE (R$/MWh)" numFmtId="40">
      <sharedItems containsSemiMixedTypes="0" containsString="0" containsNumber="1" minValue="0" maxValue="242.35"/>
    </cacheField>
    <cacheField name="TUSD (R$/kW) NOVA" numFmtId="40">
      <sharedItems containsString="0" containsBlank="1" containsNumber="1" minValue="29.821869326823354" maxValue="29.821869326823354"/>
    </cacheField>
    <cacheField name="TUSD (R$/MWh) NOVA" numFmtId="40">
      <sharedItems containsString="0" containsBlank="1" containsNumber="1" minValue="88.695192613955996" maxValue="2263.994888127495"/>
    </cacheField>
    <cacheField name="TE (R$/MWh) NOVA" numFmtId="40">
      <sharedItems containsString="0" containsBlank="1" containsNumber="1" minValue="66.852629922104782" maxValue="191.00751406315655"/>
    </cacheField>
    <cacheField name="RA0 ou RV - TUSD (kW)" numFmtId="40">
      <sharedItems containsSemiMixedTypes="0" containsString="0" containsNumber="1" minValue="0" maxValue="143629.19999999998"/>
    </cacheField>
    <cacheField name="RA0 ou RV - TUSD (MWh)" numFmtId="40">
      <sharedItems containsSemiMixedTypes="0" containsString="0" containsNumber="1" minValue="-1037.6779099999999" maxValue="235147.98251999999"/>
    </cacheField>
    <cacheField name="RA0 ou RV - TE (MWh)" numFmtId="40">
      <sharedItems containsSemiMixedTypes="0" containsString="0" containsNumber="1" minValue="-821.32414999999992" maxValue="656888.46324999991"/>
    </cacheField>
    <cacheField name="RA1 ou RRD - TUSD (kW)" numFmtId="40">
      <sharedItems containsSemiMixedTypes="0" containsString="0" containsNumber="1" minValue="0" maxValue="203385.14880893528"/>
    </cacheField>
    <cacheField name="RA1 ou RRD - TUSD (MWh)" numFmtId="40">
      <sharedItems containsSemiMixedTypes="0" containsString="0" containsNumber="1" minValue="-1518.3453089410432" maxValue="339515.4654082635"/>
    </cacheField>
    <cacheField name="RA1 ou RRD - TE (MWh)" numFmtId="40">
      <sharedItems containsSemiMixedTypes="0" containsString="0" containsNumber="1" minValue="-647.32446516003745" maxValue="517724.91183061549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16.758620486115" createdVersion="5" refreshedVersion="8" minRefreshableVersion="3" recordCount="163" xr:uid="{174856FC-CF2E-47BF-BE8F-2B8623CDA1B3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3">
        <s v="B1"/>
        <s v="B2"/>
        <s v="B3"/>
      </sharedItems>
    </cacheField>
    <cacheField name="Modalidade" numFmtId="0">
      <sharedItems count="1">
        <s v="Convencional"/>
      </sharedItems>
    </cacheField>
    <cacheField name="Classe" numFmtId="0">
      <sharedItems count="3">
        <s v="Residencial"/>
        <s v="Rural"/>
        <s v="Serviço público"/>
      </sharedItems>
    </cacheField>
    <cacheField name="Subclasse" numFmtId="0">
      <sharedItems count="9"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Aquicultura"/>
        <s v="Não se aplica"/>
        <s v="Água, esgoto e saneamento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1"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0"/>
    </cacheField>
    <cacheField name="Daj" numFmtId="40">
      <sharedItems containsSemiMixedTypes="0" containsString="0" containsNumber="1" containsInteger="1" minValue="0" maxValue="0"/>
    </cacheField>
    <cacheField name="TUSD_E" numFmtId="40">
      <sharedItems containsSemiMixedTypes="0" containsString="0" containsNumber="1" minValue="-3.2789999999999999" maxValue="530.64599999999996"/>
    </cacheField>
    <cacheField name="TUSD_Eaj" numFmtId="40">
      <sharedItems containsSemiMixedTypes="0" containsString="0" containsNumber="1" minValue="-3.2789999999999999" maxValue="530.64599999999996"/>
    </cacheField>
    <cacheField name="TE_E" numFmtId="40">
      <sharedItems containsSemiMixedTypes="0" containsString="0" containsNumber="1" minValue="-3.2789999999999999" maxValue="530.64599999999996"/>
    </cacheField>
    <cacheField name="TE_Eaj" numFmtId="40">
      <sharedItems containsSemiMixedTypes="0" containsString="0" containsNumber="1" minValue="-3.2789999999999999" maxValue="530.64599999999996"/>
    </cacheField>
    <cacheField name="UC" numFmtId="40">
      <sharedItems containsSemiMixedTypes="0" containsString="0" containsNumber="1" containsInteger="1" minValue="0" maxValue="2828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0"/>
    </cacheField>
    <cacheField name="CóD. AUX. TUSD R$/MWh" numFmtId="0">
      <sharedItems containsSemiMixedTypes="0" containsString="0" containsNumber="1" containsInteger="1" minValue="18" maxValue="46"/>
    </cacheField>
    <cacheField name="CóD. AUX. TE R$/MWh" numFmtId="0">
      <sharedItems containsSemiMixedTypes="0" containsString="0" containsNumber="1" containsInteger="1" minValue="56" maxValue="84"/>
    </cacheField>
    <cacheField name="TUSD (R$/kW)" numFmtId="40">
      <sharedItems containsSemiMixedTypes="0" containsString="0" containsNumber="1" containsInteger="1" minValue="0" maxValue="0"/>
    </cacheField>
    <cacheField name="TUSD (R$/MWh)" numFmtId="40">
      <sharedItems containsSemiMixedTypes="0" containsString="0" containsNumber="1" minValue="83.46" maxValue="306.19"/>
    </cacheField>
    <cacheField name="TE (R$/MWh)" numFmtId="40">
      <sharedItems containsSemiMixedTypes="0" containsString="0" containsNumber="1" minValue="84.82" maxValue="242.35"/>
    </cacheField>
    <cacheField name="TUSD (R$/kW) NOVA" numFmtId="40">
      <sharedItems containsNonDate="0" containsString="0" containsBlank="1"/>
    </cacheField>
    <cacheField name="TUSD (R$/MWh) NOVA" numFmtId="40">
      <sharedItems containsSemiMixedTypes="0" containsString="0" containsNumber="1" minValue="121.42333418640717" maxValue="448.02163143730991"/>
    </cacheField>
    <cacheField name="TE (R$/MWh) NOVA" numFmtId="40">
      <sharedItems containsSemiMixedTypes="0" containsString="0" containsNumber="1" minValue="66.852629922104782" maxValue="191.00751406315655"/>
    </cacheField>
    <cacheField name="SUBSIDIO kW - TV" numFmtId="40">
      <sharedItems containsSemiMixedTypes="0" containsString="0" containsNumber="1" containsInteger="1" minValue="0" maxValue="0"/>
    </cacheField>
    <cacheField name="SUBSIDIO MWh - TV" numFmtId="40">
      <sharedItems containsSemiMixedTypes="0" containsString="0" containsNumber="1" minValue="-399.88349999999997" maxValue="34927.119719999981"/>
    </cacheField>
    <cacheField name="SUBSIDIO kW - TN" numFmtId="40">
      <sharedItems containsSemiMixedTypes="0" containsString="0" containsNumber="1" containsInteger="1" minValue="0" maxValue="0"/>
    </cacheField>
    <cacheField name="SUBSIDIO MWh - TN" numFmtId="40">
      <sharedItems containsSemiMixedTypes="0" containsString="0" containsNumber="1" minValue="-448.59846014132751" maxValue="20345.895596594451"/>
    </cacheField>
    <cacheField name="TIPO" numFmtId="0">
      <sharedItems containsBlank="1" count="5">
        <m/>
        <s v="SUBSIDIO BAIXA RENDA"/>
        <s v="SUBSIDIO RURAL"/>
        <s v="SUBSIDIO IRRIGANTE/AQUICULTOR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0">
  <r>
    <s v="Regular"/>
    <x v="0"/>
    <x v="0"/>
    <x v="0"/>
    <x v="0"/>
    <x v="0"/>
    <x v="0"/>
    <x v="0"/>
    <x v="0"/>
    <n v="0"/>
    <n v="0"/>
    <n v="25.719000000000001"/>
    <n v="25.719000000000001"/>
    <n v="25.719000000000001"/>
    <n v="25.719000000000001"/>
    <n v="0"/>
    <x v="0"/>
    <n v="0"/>
    <n v="0"/>
    <n v="8"/>
    <n v="51"/>
    <n v="0"/>
    <n v="61.71"/>
    <n v="242.35"/>
    <m/>
    <n v="88.695192613955996"/>
    <n v="191.00751406315655"/>
    <n v="0"/>
    <n v="1587.11949"/>
    <n v="6232.9996499999997"/>
    <n v="0"/>
    <n v="2281.1516588383342"/>
    <n v="4912.5222541903231"/>
  </r>
  <r>
    <s v="Regular"/>
    <x v="0"/>
    <x v="0"/>
    <x v="0"/>
    <x v="0"/>
    <x v="0"/>
    <x v="0"/>
    <x v="0"/>
    <x v="1"/>
    <n v="0"/>
    <n v="0"/>
    <n v="26.542000000000002"/>
    <n v="26.542000000000002"/>
    <n v="26.542000000000002"/>
    <n v="26.542000000000002"/>
    <n v="0"/>
    <x v="0"/>
    <n v="0"/>
    <n v="0"/>
    <n v="8"/>
    <n v="51"/>
    <n v="0"/>
    <n v="61.71"/>
    <n v="242.35"/>
    <m/>
    <n v="88.695192613955996"/>
    <n v="191.00751406315655"/>
    <n v="0"/>
    <n v="1637.9068200000002"/>
    <n v="6432.4537"/>
    <n v="0"/>
    <n v="2354.1478023596201"/>
    <n v="5069.7214382643015"/>
  </r>
  <r>
    <s v="Regular"/>
    <x v="0"/>
    <x v="0"/>
    <x v="0"/>
    <x v="0"/>
    <x v="0"/>
    <x v="0"/>
    <x v="0"/>
    <x v="2"/>
    <n v="0"/>
    <n v="0"/>
    <n v="28.847000000000001"/>
    <n v="28.847000000000001"/>
    <n v="28.847000000000001"/>
    <n v="28.847000000000001"/>
    <n v="0"/>
    <x v="0"/>
    <n v="0"/>
    <n v="0"/>
    <n v="8"/>
    <n v="51"/>
    <n v="0"/>
    <n v="61.71"/>
    <n v="242.35"/>
    <m/>
    <n v="88.695192613955996"/>
    <n v="191.00751406315655"/>
    <n v="0"/>
    <n v="1780.1483700000001"/>
    <n v="6991.0704500000002"/>
    <n v="0"/>
    <n v="2558.5902213347886"/>
    <n v="5509.9937581798777"/>
  </r>
  <r>
    <s v="Regular"/>
    <x v="0"/>
    <x v="0"/>
    <x v="0"/>
    <x v="0"/>
    <x v="0"/>
    <x v="0"/>
    <x v="0"/>
    <x v="3"/>
    <n v="0"/>
    <n v="0"/>
    <n v="32.871000000000002"/>
    <n v="32.871000000000002"/>
    <n v="32.871000000000002"/>
    <n v="32.871000000000002"/>
    <n v="0"/>
    <x v="0"/>
    <n v="0"/>
    <n v="0"/>
    <n v="8"/>
    <n v="51"/>
    <n v="0"/>
    <n v="61.71"/>
    <n v="242.35"/>
    <m/>
    <n v="88.695192613955996"/>
    <n v="191.00751406315655"/>
    <n v="0"/>
    <n v="2028.4694100000002"/>
    <n v="7966.2868500000004"/>
    <n v="0"/>
    <n v="2915.4996764133475"/>
    <n v="6278.6079947700191"/>
  </r>
  <r>
    <s v="Regular"/>
    <x v="0"/>
    <x v="0"/>
    <x v="0"/>
    <x v="0"/>
    <x v="0"/>
    <x v="0"/>
    <x v="0"/>
    <x v="4"/>
    <n v="0"/>
    <n v="0"/>
    <n v="35.694000000000003"/>
    <n v="35.694000000000003"/>
    <n v="35.694000000000003"/>
    <n v="35.694000000000003"/>
    <n v="0"/>
    <x v="0"/>
    <n v="0"/>
    <n v="0"/>
    <n v="8"/>
    <n v="51"/>
    <n v="0"/>
    <n v="61.71"/>
    <n v="242.35"/>
    <m/>
    <n v="88.695192613955996"/>
    <n v="191.00751406315655"/>
    <n v="0"/>
    <n v="2202.6767400000003"/>
    <n v="8650.4408999999996"/>
    <n v="0"/>
    <n v="3165.8862051625456"/>
    <n v="6817.8222069703106"/>
  </r>
  <r>
    <s v="Regular"/>
    <x v="0"/>
    <x v="0"/>
    <x v="0"/>
    <x v="0"/>
    <x v="0"/>
    <x v="0"/>
    <x v="0"/>
    <x v="5"/>
    <n v="0"/>
    <n v="0"/>
    <n v="31.585000000000001"/>
    <n v="31.585000000000001"/>
    <n v="31.585000000000001"/>
    <n v="31.585000000000001"/>
    <n v="0"/>
    <x v="0"/>
    <n v="0"/>
    <n v="0"/>
    <n v="8"/>
    <n v="51"/>
    <n v="0"/>
    <n v="61.71"/>
    <n v="242.35"/>
    <m/>
    <n v="88.695192613955996"/>
    <n v="191.00751406315655"/>
    <n v="0"/>
    <n v="1949.1103500000002"/>
    <n v="7654.6247499999999"/>
    <n v="0"/>
    <n v="2801.4376587118004"/>
    <n v="6032.9723316847994"/>
  </r>
  <r>
    <s v="Regular"/>
    <x v="0"/>
    <x v="0"/>
    <x v="0"/>
    <x v="0"/>
    <x v="0"/>
    <x v="0"/>
    <x v="0"/>
    <x v="6"/>
    <n v="0"/>
    <n v="0"/>
    <n v="31.95"/>
    <n v="31.95"/>
    <n v="31.95"/>
    <n v="31.95"/>
    <n v="0"/>
    <x v="0"/>
    <n v="0"/>
    <n v="0"/>
    <n v="8"/>
    <n v="51"/>
    <n v="0"/>
    <n v="61.71"/>
    <n v="242.35"/>
    <m/>
    <n v="88.695192613955996"/>
    <n v="191.00751406315655"/>
    <n v="0"/>
    <n v="1971.6344999999999"/>
    <n v="7743.0824999999995"/>
    <n v="0"/>
    <n v="2833.8114040158939"/>
    <n v="6102.6900743178512"/>
  </r>
  <r>
    <s v="Regular"/>
    <x v="0"/>
    <x v="0"/>
    <x v="0"/>
    <x v="0"/>
    <x v="0"/>
    <x v="0"/>
    <x v="0"/>
    <x v="7"/>
    <n v="0"/>
    <n v="0"/>
    <n v="29.888000000000002"/>
    <n v="29.888000000000002"/>
    <n v="29.888000000000002"/>
    <n v="29.888000000000002"/>
    <n v="0"/>
    <x v="0"/>
    <n v="0"/>
    <n v="0"/>
    <n v="8"/>
    <n v="51"/>
    <n v="0"/>
    <n v="61.71"/>
    <n v="242.35"/>
    <m/>
    <n v="88.695192613955996"/>
    <n v="191.00751406315655"/>
    <n v="0"/>
    <n v="1844.3884800000001"/>
    <n v="7243.3568000000005"/>
    <n v="0"/>
    <n v="2650.9219168459172"/>
    <n v="5708.832580319623"/>
  </r>
  <r>
    <s v="Regular"/>
    <x v="0"/>
    <x v="0"/>
    <x v="0"/>
    <x v="0"/>
    <x v="0"/>
    <x v="0"/>
    <x v="0"/>
    <x v="8"/>
    <n v="0"/>
    <n v="0"/>
    <n v="27.405999999999999"/>
    <n v="27.405999999999999"/>
    <n v="27.405999999999999"/>
    <n v="27.405999999999999"/>
    <n v="0"/>
    <x v="0"/>
    <n v="0"/>
    <n v="0"/>
    <n v="8"/>
    <n v="51"/>
    <n v="0"/>
    <n v="61.71"/>
    <n v="242.35"/>
    <m/>
    <n v="88.695192613955996"/>
    <n v="191.00751406315655"/>
    <n v="0"/>
    <n v="1691.22426"/>
    <n v="6641.8440999999993"/>
    <n v="0"/>
    <n v="2430.7804487780777"/>
    <n v="5234.7519304148682"/>
  </r>
  <r>
    <s v="Regular"/>
    <x v="0"/>
    <x v="0"/>
    <x v="0"/>
    <x v="0"/>
    <x v="0"/>
    <x v="0"/>
    <x v="0"/>
    <x v="9"/>
    <n v="0"/>
    <n v="0"/>
    <n v="24.952999999999999"/>
    <n v="24.952999999999999"/>
    <n v="24.952999999999999"/>
    <n v="24.952999999999999"/>
    <n v="0"/>
    <x v="0"/>
    <n v="0"/>
    <n v="0"/>
    <n v="8"/>
    <n v="51"/>
    <n v="0"/>
    <n v="61.71"/>
    <n v="242.35"/>
    <m/>
    <n v="88.695192613955996"/>
    <n v="191.00751406315655"/>
    <n v="0"/>
    <n v="1539.8496299999999"/>
    <n v="6047.3595500000001"/>
    <n v="0"/>
    <n v="2213.2111412960439"/>
    <n v="4766.210498417945"/>
  </r>
  <r>
    <s v="Regular"/>
    <x v="0"/>
    <x v="0"/>
    <x v="0"/>
    <x v="0"/>
    <x v="0"/>
    <x v="0"/>
    <x v="0"/>
    <x v="10"/>
    <n v="0"/>
    <n v="0"/>
    <n v="26.928999999999998"/>
    <n v="26.928999999999998"/>
    <n v="26.928999999999998"/>
    <n v="26.928999999999998"/>
    <n v="0"/>
    <x v="0"/>
    <n v="0"/>
    <n v="0"/>
    <n v="8"/>
    <n v="51"/>
    <n v="0"/>
    <n v="61.71"/>
    <n v="242.35"/>
    <m/>
    <n v="88.695192613955996"/>
    <n v="191.00751406315655"/>
    <n v="0"/>
    <n v="1661.7885899999999"/>
    <n v="6526.2431499999993"/>
    <n v="0"/>
    <n v="2388.4728419012208"/>
    <n v="5143.6413462067421"/>
  </r>
  <r>
    <s v="PROJETADO"/>
    <x v="0"/>
    <x v="0"/>
    <x v="0"/>
    <x v="0"/>
    <x v="0"/>
    <x v="0"/>
    <x v="0"/>
    <x v="11"/>
    <n v="0"/>
    <n v="0"/>
    <n v="26.928999999999998"/>
    <n v="26.928999999999998"/>
    <n v="26.928999999999998"/>
    <n v="26.928999999999998"/>
    <n v="0"/>
    <x v="0"/>
    <n v="0"/>
    <n v="0"/>
    <n v="8"/>
    <n v="51"/>
    <n v="0"/>
    <n v="61.71"/>
    <n v="242.35"/>
    <m/>
    <n v="88.695192613955996"/>
    <n v="191.00751406315655"/>
    <n v="0"/>
    <n v="1661.7885899999999"/>
    <n v="6526.2431499999993"/>
    <n v="0"/>
    <n v="2388.4728419012208"/>
    <n v="5143.6413462067421"/>
  </r>
  <r>
    <s v="Regular"/>
    <x v="0"/>
    <x v="0"/>
    <x v="0"/>
    <x v="0"/>
    <x v="0"/>
    <x v="0"/>
    <x v="1"/>
    <x v="0"/>
    <n v="98"/>
    <n v="98"/>
    <n v="0"/>
    <n v="0"/>
    <n v="0"/>
    <n v="0"/>
    <n v="1"/>
    <x v="0"/>
    <n v="0"/>
    <n v="6"/>
    <n v="0"/>
    <n v="0"/>
    <n v="21.06"/>
    <n v="0"/>
    <n v="0"/>
    <n v="29.821869326823354"/>
    <m/>
    <m/>
    <n v="2063.8799999999997"/>
    <n v="0"/>
    <n v="0"/>
    <n v="2922.5431940286885"/>
    <n v="0"/>
    <n v="0"/>
  </r>
  <r>
    <s v="Regular"/>
    <x v="0"/>
    <x v="0"/>
    <x v="0"/>
    <x v="0"/>
    <x v="0"/>
    <x v="0"/>
    <x v="1"/>
    <x v="1"/>
    <n v="95"/>
    <n v="95"/>
    <n v="0"/>
    <n v="0"/>
    <n v="0"/>
    <n v="0"/>
    <n v="1"/>
    <x v="0"/>
    <n v="0"/>
    <n v="6"/>
    <n v="0"/>
    <n v="0"/>
    <n v="21.06"/>
    <n v="0"/>
    <n v="0"/>
    <n v="29.821869326823354"/>
    <m/>
    <m/>
    <n v="2000.6999999999998"/>
    <n v="0"/>
    <n v="0"/>
    <n v="2833.0775860482186"/>
    <n v="0"/>
    <n v="0"/>
  </r>
  <r>
    <s v="Regular"/>
    <x v="0"/>
    <x v="0"/>
    <x v="0"/>
    <x v="0"/>
    <x v="0"/>
    <x v="0"/>
    <x v="1"/>
    <x v="2"/>
    <n v="100"/>
    <n v="100"/>
    <n v="0"/>
    <n v="0"/>
    <n v="0"/>
    <n v="0"/>
    <n v="1"/>
    <x v="0"/>
    <n v="0"/>
    <n v="6"/>
    <n v="0"/>
    <n v="0"/>
    <n v="21.06"/>
    <n v="0"/>
    <n v="0"/>
    <n v="29.821869326823354"/>
    <m/>
    <m/>
    <n v="2106"/>
    <n v="0"/>
    <n v="0"/>
    <n v="2982.1869326823353"/>
    <n v="0"/>
    <n v="0"/>
  </r>
  <r>
    <s v="Regular"/>
    <x v="0"/>
    <x v="0"/>
    <x v="0"/>
    <x v="0"/>
    <x v="0"/>
    <x v="0"/>
    <x v="1"/>
    <x v="3"/>
    <n v="112"/>
    <n v="112"/>
    <n v="0"/>
    <n v="0"/>
    <n v="0"/>
    <n v="0"/>
    <n v="1"/>
    <x v="0"/>
    <n v="0"/>
    <n v="6"/>
    <n v="0"/>
    <n v="0"/>
    <n v="21.06"/>
    <n v="0"/>
    <n v="0"/>
    <n v="29.821869326823354"/>
    <m/>
    <m/>
    <n v="2358.7199999999998"/>
    <n v="0"/>
    <n v="0"/>
    <n v="3340.0493646042155"/>
    <n v="0"/>
    <n v="0"/>
  </r>
  <r>
    <s v="Regular"/>
    <x v="0"/>
    <x v="0"/>
    <x v="0"/>
    <x v="0"/>
    <x v="0"/>
    <x v="0"/>
    <x v="1"/>
    <x v="4"/>
    <n v="115"/>
    <n v="115"/>
    <n v="0"/>
    <n v="0"/>
    <n v="0"/>
    <n v="0"/>
    <n v="1"/>
    <x v="0"/>
    <n v="0"/>
    <n v="6"/>
    <n v="0"/>
    <n v="0"/>
    <n v="21.06"/>
    <n v="0"/>
    <n v="0"/>
    <n v="29.821869326823354"/>
    <m/>
    <m/>
    <n v="2421.8999999999996"/>
    <n v="0"/>
    <n v="0"/>
    <n v="3429.5149725846859"/>
    <n v="0"/>
    <n v="0"/>
  </r>
  <r>
    <s v="Regular"/>
    <x v="0"/>
    <x v="0"/>
    <x v="0"/>
    <x v="0"/>
    <x v="0"/>
    <x v="0"/>
    <x v="1"/>
    <x v="5"/>
    <n v="110"/>
    <n v="110"/>
    <n v="0"/>
    <n v="0"/>
    <n v="0"/>
    <n v="0"/>
    <n v="1"/>
    <x v="0"/>
    <n v="0"/>
    <n v="6"/>
    <n v="0"/>
    <n v="0"/>
    <n v="21.06"/>
    <n v="0"/>
    <n v="0"/>
    <n v="29.821869326823354"/>
    <m/>
    <m/>
    <n v="2316.6"/>
    <n v="0"/>
    <n v="0"/>
    <n v="3280.4056259505687"/>
    <n v="0"/>
    <n v="0"/>
  </r>
  <r>
    <s v="Regular"/>
    <x v="0"/>
    <x v="0"/>
    <x v="0"/>
    <x v="0"/>
    <x v="0"/>
    <x v="0"/>
    <x v="1"/>
    <x v="6"/>
    <n v="110"/>
    <n v="110"/>
    <n v="0"/>
    <n v="0"/>
    <n v="0"/>
    <n v="0"/>
    <n v="1"/>
    <x v="0"/>
    <n v="0"/>
    <n v="6"/>
    <n v="0"/>
    <n v="0"/>
    <n v="21.06"/>
    <n v="0"/>
    <n v="0"/>
    <n v="29.821869326823354"/>
    <m/>
    <m/>
    <n v="2316.6"/>
    <n v="0"/>
    <n v="0"/>
    <n v="3280.4056259505687"/>
    <n v="0"/>
    <n v="0"/>
  </r>
  <r>
    <s v="Regular"/>
    <x v="0"/>
    <x v="0"/>
    <x v="0"/>
    <x v="0"/>
    <x v="0"/>
    <x v="0"/>
    <x v="1"/>
    <x v="7"/>
    <n v="110"/>
    <n v="110"/>
    <n v="0"/>
    <n v="0"/>
    <n v="0"/>
    <n v="0"/>
    <n v="1"/>
    <x v="0"/>
    <n v="0"/>
    <n v="6"/>
    <n v="0"/>
    <n v="0"/>
    <n v="21.06"/>
    <n v="0"/>
    <n v="0"/>
    <n v="29.821869326823354"/>
    <m/>
    <m/>
    <n v="2316.6"/>
    <n v="0"/>
    <n v="0"/>
    <n v="3280.4056259505687"/>
    <n v="0"/>
    <n v="0"/>
  </r>
  <r>
    <s v="Regular"/>
    <x v="0"/>
    <x v="0"/>
    <x v="0"/>
    <x v="0"/>
    <x v="0"/>
    <x v="0"/>
    <x v="1"/>
    <x v="8"/>
    <n v="110"/>
    <n v="110"/>
    <n v="0"/>
    <n v="0"/>
    <n v="0"/>
    <n v="0"/>
    <n v="1"/>
    <x v="0"/>
    <n v="0"/>
    <n v="6"/>
    <n v="0"/>
    <n v="0"/>
    <n v="21.06"/>
    <n v="0"/>
    <n v="0"/>
    <n v="29.821869326823354"/>
    <m/>
    <m/>
    <n v="2316.6"/>
    <n v="0"/>
    <n v="0"/>
    <n v="3280.4056259505687"/>
    <n v="0"/>
    <n v="0"/>
  </r>
  <r>
    <s v="Regular"/>
    <x v="0"/>
    <x v="0"/>
    <x v="0"/>
    <x v="0"/>
    <x v="0"/>
    <x v="0"/>
    <x v="1"/>
    <x v="9"/>
    <n v="110"/>
    <n v="110"/>
    <n v="0"/>
    <n v="0"/>
    <n v="0"/>
    <n v="0"/>
    <n v="1"/>
    <x v="0"/>
    <n v="0"/>
    <n v="6"/>
    <n v="0"/>
    <n v="0"/>
    <n v="21.06"/>
    <n v="0"/>
    <n v="0"/>
    <n v="29.821869326823354"/>
    <m/>
    <m/>
    <n v="2316.6"/>
    <n v="0"/>
    <n v="0"/>
    <n v="3280.4056259505687"/>
    <n v="0"/>
    <n v="0"/>
  </r>
  <r>
    <s v="Regular"/>
    <x v="0"/>
    <x v="0"/>
    <x v="0"/>
    <x v="0"/>
    <x v="0"/>
    <x v="0"/>
    <x v="1"/>
    <x v="10"/>
    <n v="85"/>
    <n v="85"/>
    <n v="0"/>
    <n v="0"/>
    <n v="0"/>
    <n v="0"/>
    <n v="1"/>
    <x v="0"/>
    <n v="0"/>
    <n v="6"/>
    <n v="0"/>
    <n v="0"/>
    <n v="21.06"/>
    <n v="0"/>
    <n v="0"/>
    <n v="29.821869326823354"/>
    <m/>
    <m/>
    <n v="1790.1"/>
    <n v="0"/>
    <n v="0"/>
    <n v="2534.8588927799851"/>
    <n v="0"/>
    <n v="0"/>
  </r>
  <r>
    <s v="PROJETADO"/>
    <x v="0"/>
    <x v="0"/>
    <x v="0"/>
    <x v="0"/>
    <x v="0"/>
    <x v="0"/>
    <x v="1"/>
    <x v="11"/>
    <n v="85"/>
    <n v="85"/>
    <n v="0"/>
    <n v="0"/>
    <n v="0"/>
    <n v="0"/>
    <n v="1"/>
    <x v="0"/>
    <n v="0"/>
    <n v="6"/>
    <n v="0"/>
    <n v="0"/>
    <n v="21.06"/>
    <n v="0"/>
    <n v="0"/>
    <n v="29.821869326823354"/>
    <m/>
    <m/>
    <n v="1790.1"/>
    <n v="0"/>
    <n v="0"/>
    <n v="2534.8588927799851"/>
    <n v="0"/>
    <n v="0"/>
  </r>
  <r>
    <s v="Regular"/>
    <x v="0"/>
    <x v="0"/>
    <x v="0"/>
    <x v="0"/>
    <x v="0"/>
    <x v="0"/>
    <x v="2"/>
    <x v="0"/>
    <n v="0"/>
    <n v="0"/>
    <n v="2.3650000000000002"/>
    <n v="2.3650000000000002"/>
    <n v="2.3650000000000002"/>
    <n v="2.3650000000000002"/>
    <n v="0"/>
    <x v="0"/>
    <n v="0"/>
    <n v="0"/>
    <n v="7"/>
    <n v="50"/>
    <n v="0"/>
    <n v="1568.04"/>
    <n v="242.35"/>
    <m/>
    <n v="2263.994888127495"/>
    <n v="191.00751406315655"/>
    <n v="0"/>
    <n v="3708.4146000000001"/>
    <n v="573.15775000000008"/>
    <n v="0"/>
    <n v="5354.3479104215257"/>
    <n v="451.73277075936528"/>
  </r>
  <r>
    <s v="Regular"/>
    <x v="0"/>
    <x v="0"/>
    <x v="0"/>
    <x v="0"/>
    <x v="0"/>
    <x v="0"/>
    <x v="2"/>
    <x v="1"/>
    <n v="0"/>
    <n v="0"/>
    <n v="2.198"/>
    <n v="2.198"/>
    <n v="2.198"/>
    <n v="2.198"/>
    <n v="0"/>
    <x v="0"/>
    <n v="0"/>
    <n v="0"/>
    <n v="7"/>
    <n v="50"/>
    <n v="0"/>
    <n v="1568.04"/>
    <n v="242.35"/>
    <m/>
    <n v="2263.994888127495"/>
    <n v="191.00751406315655"/>
    <n v="0"/>
    <n v="3446.5519199999999"/>
    <n v="532.68529999999998"/>
    <n v="0"/>
    <n v="4976.2607641042341"/>
    <n v="419.83451591081808"/>
  </r>
  <r>
    <s v="Regular"/>
    <x v="0"/>
    <x v="0"/>
    <x v="0"/>
    <x v="0"/>
    <x v="0"/>
    <x v="0"/>
    <x v="2"/>
    <x v="2"/>
    <n v="0"/>
    <n v="0"/>
    <n v="2.4809999999999999"/>
    <n v="2.4809999999999999"/>
    <n v="2.4809999999999999"/>
    <n v="2.4809999999999999"/>
    <n v="0"/>
    <x v="0"/>
    <n v="0"/>
    <n v="0"/>
    <n v="7"/>
    <n v="50"/>
    <n v="0"/>
    <n v="1568.04"/>
    <n v="242.35"/>
    <m/>
    <n v="2263.994888127495"/>
    <n v="191.00751406315655"/>
    <n v="0"/>
    <n v="3890.3072399999996"/>
    <n v="601.27035000000001"/>
    <n v="0"/>
    <n v="5616.971317444315"/>
    <n v="473.88964239069139"/>
  </r>
  <r>
    <s v="Regular"/>
    <x v="0"/>
    <x v="0"/>
    <x v="0"/>
    <x v="0"/>
    <x v="0"/>
    <x v="0"/>
    <x v="2"/>
    <x v="3"/>
    <n v="0"/>
    <n v="0"/>
    <n v="3.2309999999999999"/>
    <n v="3.2309999999999999"/>
    <n v="3.2309999999999999"/>
    <n v="3.2309999999999999"/>
    <n v="0"/>
    <x v="0"/>
    <n v="0"/>
    <n v="0"/>
    <n v="7"/>
    <n v="50"/>
    <n v="0"/>
    <n v="1568.04"/>
    <n v="242.35"/>
    <m/>
    <n v="2263.994888127495"/>
    <n v="191.00751406315655"/>
    <n v="0"/>
    <n v="5066.3372399999998"/>
    <n v="783.03284999999994"/>
    <n v="0"/>
    <n v="7314.9674835399355"/>
    <n v="617.14527793805883"/>
  </r>
  <r>
    <s v="Regular"/>
    <x v="0"/>
    <x v="0"/>
    <x v="0"/>
    <x v="0"/>
    <x v="0"/>
    <x v="0"/>
    <x v="2"/>
    <x v="4"/>
    <n v="0"/>
    <n v="0"/>
    <n v="3.2650000000000001"/>
    <n v="3.2650000000000001"/>
    <n v="3.2650000000000001"/>
    <n v="3.2650000000000001"/>
    <n v="0"/>
    <x v="0"/>
    <n v="0"/>
    <n v="0"/>
    <n v="7"/>
    <n v="50"/>
    <n v="0"/>
    <n v="1568.04"/>
    <n v="242.35"/>
    <m/>
    <n v="2263.994888127495"/>
    <n v="191.00751406315655"/>
    <n v="0"/>
    <n v="5119.6505999999999"/>
    <n v="791.27274999999997"/>
    <n v="0"/>
    <n v="7391.9433097362717"/>
    <n v="623.63953341620618"/>
  </r>
  <r>
    <s v="Regular"/>
    <x v="0"/>
    <x v="0"/>
    <x v="0"/>
    <x v="0"/>
    <x v="0"/>
    <x v="0"/>
    <x v="2"/>
    <x v="5"/>
    <n v="0"/>
    <n v="0"/>
    <n v="3.0550000000000002"/>
    <n v="3.0550000000000002"/>
    <n v="3.0550000000000002"/>
    <n v="3.0550000000000002"/>
    <n v="0"/>
    <x v="0"/>
    <n v="0"/>
    <n v="0"/>
    <n v="7"/>
    <n v="50"/>
    <n v="0"/>
    <n v="1568.04"/>
    <n v="242.35"/>
    <m/>
    <n v="2263.994888127495"/>
    <n v="191.00751406315655"/>
    <n v="0"/>
    <n v="4790.3622000000005"/>
    <n v="740.37925000000007"/>
    <n v="0"/>
    <n v="6916.5043832294978"/>
    <n v="583.52795546294328"/>
  </r>
  <r>
    <s v="Regular"/>
    <x v="0"/>
    <x v="0"/>
    <x v="0"/>
    <x v="0"/>
    <x v="0"/>
    <x v="0"/>
    <x v="2"/>
    <x v="6"/>
    <n v="0"/>
    <n v="0"/>
    <n v="2.8220000000000001"/>
    <n v="2.8220000000000001"/>
    <n v="2.8220000000000001"/>
    <n v="2.8220000000000001"/>
    <n v="0"/>
    <x v="0"/>
    <n v="0"/>
    <n v="0"/>
    <n v="7"/>
    <n v="50"/>
    <n v="0"/>
    <n v="1568.04"/>
    <n v="242.35"/>
    <m/>
    <n v="2263.994888127495"/>
    <n v="191.00751406315655"/>
    <n v="0"/>
    <n v="4425.0088800000003"/>
    <n v="683.9117"/>
    <n v="0"/>
    <n v="6388.9935742957905"/>
    <n v="539.02320468622781"/>
  </r>
  <r>
    <s v="Regular"/>
    <x v="0"/>
    <x v="0"/>
    <x v="0"/>
    <x v="0"/>
    <x v="0"/>
    <x v="0"/>
    <x v="2"/>
    <x v="7"/>
    <n v="0"/>
    <n v="0"/>
    <n v="2.5750000000000002"/>
    <n v="2.5750000000000002"/>
    <n v="2.5750000000000002"/>
    <n v="2.5750000000000002"/>
    <n v="0"/>
    <x v="0"/>
    <n v="0"/>
    <n v="0"/>
    <n v="7"/>
    <n v="50"/>
    <n v="0"/>
    <n v="1568.04"/>
    <n v="242.35"/>
    <m/>
    <n v="2263.994888127495"/>
    <n v="191.00751406315655"/>
    <n v="0"/>
    <n v="4037.703"/>
    <n v="624.05124999999998"/>
    <n v="0"/>
    <n v="5829.7868369282996"/>
    <n v="491.84434871262818"/>
  </r>
  <r>
    <s v="Regular"/>
    <x v="0"/>
    <x v="0"/>
    <x v="0"/>
    <x v="0"/>
    <x v="0"/>
    <x v="0"/>
    <x v="2"/>
    <x v="8"/>
    <n v="0"/>
    <n v="0"/>
    <n v="2.5649999999999999"/>
    <n v="2.5649999999999999"/>
    <n v="2.5649999999999999"/>
    <n v="2.5649999999999999"/>
    <n v="0"/>
    <x v="0"/>
    <n v="0"/>
    <n v="0"/>
    <n v="7"/>
    <n v="50"/>
    <n v="0"/>
    <n v="1568.04"/>
    <n v="242.35"/>
    <m/>
    <n v="2263.994888127495"/>
    <n v="191.00751406315655"/>
    <n v="0"/>
    <n v="4022.0225999999998"/>
    <n v="621.62774999999999"/>
    <n v="0"/>
    <n v="5807.1468880470247"/>
    <n v="489.93427357199653"/>
  </r>
  <r>
    <s v="Regular"/>
    <x v="0"/>
    <x v="0"/>
    <x v="0"/>
    <x v="0"/>
    <x v="0"/>
    <x v="0"/>
    <x v="2"/>
    <x v="9"/>
    <n v="0"/>
    <n v="0"/>
    <n v="2.3119999999999998"/>
    <n v="2.3119999999999998"/>
    <n v="2.3119999999999998"/>
    <n v="2.3119999999999998"/>
    <n v="0"/>
    <x v="0"/>
    <n v="0"/>
    <n v="0"/>
    <n v="7"/>
    <n v="50"/>
    <n v="0"/>
    <n v="1568.04"/>
    <n v="242.35"/>
    <m/>
    <n v="2263.994888127495"/>
    <n v="191.00751406315655"/>
    <n v="0"/>
    <n v="3625.3084799999997"/>
    <n v="560.31319999999994"/>
    <n v="0"/>
    <n v="5234.3561813507677"/>
    <n v="441.60937251401793"/>
  </r>
  <r>
    <s v="Regular"/>
    <x v="0"/>
    <x v="0"/>
    <x v="0"/>
    <x v="0"/>
    <x v="0"/>
    <x v="0"/>
    <x v="2"/>
    <x v="10"/>
    <n v="0"/>
    <n v="0"/>
    <n v="2.4049999999999998"/>
    <n v="2.4049999999999998"/>
    <n v="2.4049999999999998"/>
    <n v="2.4049999999999998"/>
    <n v="0"/>
    <x v="0"/>
    <n v="0"/>
    <n v="0"/>
    <n v="7"/>
    <n v="50"/>
    <n v="0"/>
    <n v="1568.04"/>
    <n v="242.35"/>
    <m/>
    <n v="2263.994888127495"/>
    <n v="191.00751406315655"/>
    <n v="0"/>
    <n v="3771.1361999999995"/>
    <n v="582.85174999999992"/>
    <n v="0"/>
    <n v="5444.9077059466254"/>
    <n v="459.37307132189147"/>
  </r>
  <r>
    <s v="PROJETADO"/>
    <x v="0"/>
    <x v="0"/>
    <x v="0"/>
    <x v="0"/>
    <x v="0"/>
    <x v="0"/>
    <x v="2"/>
    <x v="11"/>
    <n v="0"/>
    <n v="0"/>
    <n v="2.4049999999999998"/>
    <n v="2.4049999999999998"/>
    <n v="2.4049999999999998"/>
    <n v="2.4049999999999998"/>
    <n v="0"/>
    <x v="0"/>
    <n v="0"/>
    <n v="0"/>
    <n v="7"/>
    <n v="50"/>
    <n v="0"/>
    <n v="1568.04"/>
    <n v="242.35"/>
    <m/>
    <n v="2263.994888127495"/>
    <n v="191.00751406315655"/>
    <n v="0"/>
    <n v="3771.1361999999995"/>
    <n v="582.85174999999992"/>
    <n v="0"/>
    <n v="5444.9077059466254"/>
    <n v="459.37307132189147"/>
  </r>
  <r>
    <s v="Regular"/>
    <x v="0"/>
    <x v="0"/>
    <x v="1"/>
    <x v="0"/>
    <x v="0"/>
    <x v="0"/>
    <x v="0"/>
    <x v="0"/>
    <n v="0"/>
    <n v="0"/>
    <n v="1478.0909999999999"/>
    <n v="1478.0909999999999"/>
    <n v="1478.0909999999999"/>
    <n v="1478.0909999999999"/>
    <n v="0"/>
    <x v="0"/>
    <n v="0"/>
    <n v="0"/>
    <n v="8"/>
    <n v="51"/>
    <n v="0"/>
    <n v="61.71"/>
    <n v="242.35"/>
    <m/>
    <n v="88.695192613955996"/>
    <n v="191.00751406315655"/>
    <n v="0"/>
    <n v="91212.995609999998"/>
    <n v="358215.35384999996"/>
    <n v="0"/>
    <n v="131099.56594595482"/>
    <n v="282326.48746912513"/>
  </r>
  <r>
    <s v="Regular"/>
    <x v="0"/>
    <x v="0"/>
    <x v="1"/>
    <x v="0"/>
    <x v="0"/>
    <x v="0"/>
    <x v="0"/>
    <x v="1"/>
    <n v="0"/>
    <n v="0"/>
    <n v="1488.9290000000001"/>
    <n v="1488.9290000000001"/>
    <n v="1488.9290000000001"/>
    <n v="1488.9290000000001"/>
    <n v="0"/>
    <x v="0"/>
    <n v="0"/>
    <n v="0"/>
    <n v="8"/>
    <n v="51"/>
    <n v="0"/>
    <n v="61.71"/>
    <n v="242.35"/>
    <m/>
    <n v="88.695192613955996"/>
    <n v="191.00751406315655"/>
    <n v="0"/>
    <n v="91881.808590000001"/>
    <n v="360841.94315000001"/>
    <n v="0"/>
    <n v="132060.8444435049"/>
    <n v="284396.62690654164"/>
  </r>
  <r>
    <s v="Regular"/>
    <x v="0"/>
    <x v="0"/>
    <x v="1"/>
    <x v="0"/>
    <x v="0"/>
    <x v="0"/>
    <x v="0"/>
    <x v="2"/>
    <n v="0"/>
    <n v="0"/>
    <n v="1523.521"/>
    <n v="1523.521"/>
    <n v="1523.521"/>
    <n v="1523.521"/>
    <n v="0"/>
    <x v="0"/>
    <n v="0"/>
    <n v="0"/>
    <n v="8"/>
    <n v="51"/>
    <n v="0"/>
    <n v="61.71"/>
    <n v="242.35"/>
    <m/>
    <n v="88.695192613955996"/>
    <n v="191.00751406315655"/>
    <n v="0"/>
    <n v="94016.480909999998"/>
    <n v="369225.31435"/>
    <n v="0"/>
    <n v="135128.98854640685"/>
    <n v="291003.9588330143"/>
  </r>
  <r>
    <s v="Regular"/>
    <x v="0"/>
    <x v="0"/>
    <x v="1"/>
    <x v="0"/>
    <x v="0"/>
    <x v="0"/>
    <x v="0"/>
    <x v="3"/>
    <n v="0"/>
    <n v="0"/>
    <n v="1590.2850000000001"/>
    <n v="1590.2850000000001"/>
    <n v="1590.2850000000001"/>
    <n v="1590.2850000000001"/>
    <n v="0"/>
    <x v="0"/>
    <n v="0"/>
    <n v="0"/>
    <n v="8"/>
    <n v="51"/>
    <n v="0"/>
    <n v="61.71"/>
    <n v="242.35"/>
    <m/>
    <n v="88.695192613955996"/>
    <n v="191.00751406315655"/>
    <n v="0"/>
    <n v="98136.48735000001"/>
    <n v="385405.56975000002"/>
    <n v="0"/>
    <n v="141050.63438608503"/>
    <n v="303756.38450192695"/>
  </r>
  <r>
    <s v="Regular"/>
    <x v="0"/>
    <x v="0"/>
    <x v="1"/>
    <x v="0"/>
    <x v="0"/>
    <x v="0"/>
    <x v="0"/>
    <x v="4"/>
    <n v="0"/>
    <n v="0"/>
    <n v="1705.3030000000001"/>
    <n v="1705.3030000000001"/>
    <n v="1705.3030000000001"/>
    <n v="1705.3030000000001"/>
    <n v="0"/>
    <x v="0"/>
    <n v="0"/>
    <n v="0"/>
    <n v="8"/>
    <n v="51"/>
    <n v="0"/>
    <n v="61.71"/>
    <n v="242.35"/>
    <m/>
    <n v="88.695192613955996"/>
    <n v="191.00751406315655"/>
    <n v="0"/>
    <n v="105234.24813000001"/>
    <n v="413280.18205"/>
    <n v="0"/>
    <n v="151252.178050157"/>
    <n v="325725.6867544431"/>
  </r>
  <r>
    <s v="Regular"/>
    <x v="0"/>
    <x v="0"/>
    <x v="1"/>
    <x v="0"/>
    <x v="0"/>
    <x v="0"/>
    <x v="0"/>
    <x v="5"/>
    <n v="0"/>
    <n v="0"/>
    <n v="1972.8689999999999"/>
    <n v="1972.8689999999999"/>
    <n v="1972.8689999999999"/>
    <n v="1972.8689999999999"/>
    <n v="0"/>
    <x v="0"/>
    <n v="0"/>
    <n v="0"/>
    <n v="8"/>
    <n v="51"/>
    <n v="0"/>
    <n v="61.71"/>
    <n v="242.35"/>
    <m/>
    <n v="88.695192613955996"/>
    <n v="191.00751406315655"/>
    <n v="0"/>
    <n v="121745.74599"/>
    <n v="478124.80214999994"/>
    <n v="0"/>
    <n v="174983.99595710274"/>
    <n v="376832.80326226557"/>
  </r>
  <r>
    <s v="Regular"/>
    <x v="0"/>
    <x v="0"/>
    <x v="1"/>
    <x v="0"/>
    <x v="0"/>
    <x v="0"/>
    <x v="0"/>
    <x v="6"/>
    <n v="0"/>
    <n v="0"/>
    <n v="2710.4949999999999"/>
    <n v="2710.4949999999999"/>
    <n v="2710.4949999999999"/>
    <n v="2710.4949999999999"/>
    <n v="0"/>
    <x v="0"/>
    <n v="0"/>
    <n v="0"/>
    <n v="8"/>
    <n v="51"/>
    <n v="0"/>
    <n v="61.71"/>
    <n v="242.35"/>
    <m/>
    <n v="88.695192613955996"/>
    <n v="191.00751406315655"/>
    <n v="0"/>
    <n v="167264.64645"/>
    <n v="656888.46324999991"/>
    <n v="0"/>
    <n v="240407.87610416464"/>
    <n v="517724.91183061549"/>
  </r>
  <r>
    <s v="Regular"/>
    <x v="0"/>
    <x v="0"/>
    <x v="1"/>
    <x v="0"/>
    <x v="0"/>
    <x v="0"/>
    <x v="0"/>
    <x v="7"/>
    <n v="0"/>
    <n v="0"/>
    <n v="2332.5039999999999"/>
    <n v="2332.5039999999999"/>
    <n v="2332.5039999999999"/>
    <n v="2332.5039999999999"/>
    <n v="0"/>
    <x v="0"/>
    <n v="0"/>
    <n v="0"/>
    <n v="8"/>
    <n v="51"/>
    <n v="0"/>
    <n v="61.71"/>
    <n v="242.35"/>
    <m/>
    <n v="88.695192613955996"/>
    <n v="191.00751406315655"/>
    <n v="0"/>
    <n v="143938.82183999999"/>
    <n v="565282.34439999994"/>
    <n v="0"/>
    <n v="206881.89155282281"/>
    <n v="445525.79058236891"/>
  </r>
  <r>
    <s v="Regular"/>
    <x v="0"/>
    <x v="0"/>
    <x v="1"/>
    <x v="0"/>
    <x v="0"/>
    <x v="0"/>
    <x v="0"/>
    <x v="8"/>
    <n v="0"/>
    <n v="0"/>
    <n v="2264.5300000000002"/>
    <n v="2264.5300000000002"/>
    <n v="2264.5300000000002"/>
    <n v="2264.5300000000002"/>
    <n v="0"/>
    <x v="0"/>
    <n v="0"/>
    <n v="0"/>
    <n v="8"/>
    <n v="51"/>
    <n v="0"/>
    <n v="61.71"/>
    <n v="242.35"/>
    <m/>
    <n v="88.695192613955996"/>
    <n v="191.00751406315655"/>
    <n v="0"/>
    <n v="139744.14630000002"/>
    <n v="548808.84550000005"/>
    <n v="0"/>
    <n v="200852.9245300818"/>
    <n v="432542.24582143995"/>
  </r>
  <r>
    <s v="Regular"/>
    <x v="0"/>
    <x v="0"/>
    <x v="1"/>
    <x v="0"/>
    <x v="0"/>
    <x v="0"/>
    <x v="0"/>
    <x v="9"/>
    <n v="0"/>
    <n v="0"/>
    <n v="2038.23"/>
    <n v="2038.23"/>
    <n v="2038.23"/>
    <n v="2038.23"/>
    <n v="0"/>
    <x v="0"/>
    <n v="0"/>
    <n v="0"/>
    <n v="8"/>
    <n v="51"/>
    <n v="0"/>
    <n v="61.71"/>
    <n v="242.35"/>
    <m/>
    <n v="88.695192613955996"/>
    <n v="191.00751406315655"/>
    <n v="0"/>
    <n v="125779.17330000001"/>
    <n v="493965.0405"/>
    <n v="0"/>
    <n v="180781.20244154354"/>
    <n v="389317.2453889476"/>
  </r>
  <r>
    <s v="Regular"/>
    <x v="0"/>
    <x v="0"/>
    <x v="1"/>
    <x v="0"/>
    <x v="0"/>
    <x v="0"/>
    <x v="0"/>
    <x v="10"/>
    <n v="0"/>
    <n v="0"/>
    <n v="1986.702"/>
    <n v="1986.702"/>
    <n v="1986.702"/>
    <n v="1986.702"/>
    <n v="0"/>
    <x v="0"/>
    <n v="0"/>
    <n v="0"/>
    <n v="8"/>
    <n v="51"/>
    <n v="0"/>
    <n v="61.71"/>
    <n v="242.35"/>
    <m/>
    <n v="88.695192613955996"/>
    <n v="191.00751406315655"/>
    <n v="0"/>
    <n v="122599.38042"/>
    <n v="481477.22969999997"/>
    <n v="0"/>
    <n v="176210.91655653159"/>
    <n v="379475.01020430122"/>
  </r>
  <r>
    <s v="PROJETADO"/>
    <x v="0"/>
    <x v="0"/>
    <x v="1"/>
    <x v="0"/>
    <x v="0"/>
    <x v="0"/>
    <x v="0"/>
    <x v="11"/>
    <n v="0"/>
    <n v="0"/>
    <n v="1986.702"/>
    <n v="1986.702"/>
    <n v="1986.702"/>
    <n v="1986.702"/>
    <n v="0"/>
    <x v="0"/>
    <n v="0"/>
    <n v="0"/>
    <n v="8"/>
    <n v="51"/>
    <n v="0"/>
    <n v="61.71"/>
    <n v="242.35"/>
    <m/>
    <n v="88.695192613955996"/>
    <n v="191.00751406315655"/>
    <n v="0"/>
    <n v="122599.38042"/>
    <n v="481477.22969999997"/>
    <n v="0"/>
    <n v="176210.91655653159"/>
    <n v="379475.01020430122"/>
  </r>
  <r>
    <s v="Regular"/>
    <x v="0"/>
    <x v="0"/>
    <x v="1"/>
    <x v="0"/>
    <x v="0"/>
    <x v="0"/>
    <x v="1"/>
    <x v="0"/>
    <n v="5380"/>
    <n v="5380"/>
    <n v="0"/>
    <n v="0"/>
    <n v="0"/>
    <n v="0"/>
    <n v="14"/>
    <x v="0"/>
    <n v="0"/>
    <n v="6"/>
    <n v="0"/>
    <n v="0"/>
    <n v="21.06"/>
    <n v="0"/>
    <n v="0"/>
    <n v="29.821869326823354"/>
    <m/>
    <m/>
    <n v="113302.79999999999"/>
    <n v="0"/>
    <n v="0"/>
    <n v="160441.65697830965"/>
    <n v="0"/>
    <n v="0"/>
  </r>
  <r>
    <s v="Regular"/>
    <x v="0"/>
    <x v="0"/>
    <x v="1"/>
    <x v="0"/>
    <x v="0"/>
    <x v="0"/>
    <x v="1"/>
    <x v="1"/>
    <n v="5166"/>
    <n v="5166"/>
    <n v="0"/>
    <n v="0"/>
    <n v="0"/>
    <n v="0"/>
    <n v="14"/>
    <x v="0"/>
    <n v="0"/>
    <n v="6"/>
    <n v="0"/>
    <n v="0"/>
    <n v="21.06"/>
    <n v="0"/>
    <n v="0"/>
    <n v="29.821869326823354"/>
    <m/>
    <m/>
    <n v="108795.95999999999"/>
    <n v="0"/>
    <n v="0"/>
    <n v="154059.77694236944"/>
    <n v="0"/>
    <n v="0"/>
  </r>
  <r>
    <s v="Regular"/>
    <x v="0"/>
    <x v="0"/>
    <x v="1"/>
    <x v="0"/>
    <x v="0"/>
    <x v="0"/>
    <x v="1"/>
    <x v="2"/>
    <n v="5399"/>
    <n v="5399"/>
    <n v="0"/>
    <n v="0"/>
    <n v="0"/>
    <n v="0"/>
    <n v="14"/>
    <x v="0"/>
    <n v="0"/>
    <n v="6"/>
    <n v="0"/>
    <n v="0"/>
    <n v="21.06"/>
    <n v="0"/>
    <n v="0"/>
    <n v="29.821869326823354"/>
    <m/>
    <m/>
    <n v="113702.93999999999"/>
    <n v="0"/>
    <n v="0"/>
    <n v="161008.27249551928"/>
    <n v="0"/>
    <n v="0"/>
  </r>
  <r>
    <s v="Regular"/>
    <x v="0"/>
    <x v="0"/>
    <x v="1"/>
    <x v="0"/>
    <x v="0"/>
    <x v="0"/>
    <x v="1"/>
    <x v="3"/>
    <n v="4940"/>
    <n v="4940"/>
    <n v="0"/>
    <n v="0"/>
    <n v="0"/>
    <n v="0"/>
    <n v="14"/>
    <x v="0"/>
    <n v="0"/>
    <n v="6"/>
    <n v="0"/>
    <n v="0"/>
    <n v="21.06"/>
    <n v="0"/>
    <n v="0"/>
    <n v="29.821869326823354"/>
    <m/>
    <m/>
    <n v="104036.4"/>
    <n v="0"/>
    <n v="0"/>
    <n v="147320.03447450738"/>
    <n v="0"/>
    <n v="0"/>
  </r>
  <r>
    <s v="Regular"/>
    <x v="0"/>
    <x v="0"/>
    <x v="1"/>
    <x v="0"/>
    <x v="0"/>
    <x v="0"/>
    <x v="1"/>
    <x v="4"/>
    <n v="5258"/>
    <n v="5258"/>
    <n v="0"/>
    <n v="0"/>
    <n v="0"/>
    <n v="0"/>
    <n v="14"/>
    <x v="0"/>
    <n v="0"/>
    <n v="6"/>
    <n v="0"/>
    <n v="0"/>
    <n v="21.06"/>
    <n v="0"/>
    <n v="0"/>
    <n v="29.821869326823354"/>
    <m/>
    <m/>
    <n v="110733.48"/>
    <n v="0"/>
    <n v="0"/>
    <n v="156803.3889204372"/>
    <n v="0"/>
    <n v="0"/>
  </r>
  <r>
    <s v="Regular"/>
    <x v="0"/>
    <x v="0"/>
    <x v="1"/>
    <x v="0"/>
    <x v="0"/>
    <x v="0"/>
    <x v="1"/>
    <x v="5"/>
    <n v="5734"/>
    <n v="5734"/>
    <n v="0"/>
    <n v="0"/>
    <n v="0"/>
    <n v="0"/>
    <n v="14"/>
    <x v="0"/>
    <n v="0"/>
    <n v="6"/>
    <n v="0"/>
    <n v="0"/>
    <n v="21.06"/>
    <n v="0"/>
    <n v="0"/>
    <n v="29.821869326823354"/>
    <m/>
    <m/>
    <n v="120758.04"/>
    <n v="0"/>
    <n v="0"/>
    <n v="170998.5987200051"/>
    <n v="0"/>
    <n v="0"/>
  </r>
  <r>
    <s v="Regular"/>
    <x v="0"/>
    <x v="0"/>
    <x v="1"/>
    <x v="0"/>
    <x v="0"/>
    <x v="0"/>
    <x v="1"/>
    <x v="6"/>
    <n v="6418"/>
    <n v="6418"/>
    <n v="0"/>
    <n v="0"/>
    <n v="0"/>
    <n v="0"/>
    <n v="15"/>
    <x v="0"/>
    <n v="0"/>
    <n v="6"/>
    <n v="0"/>
    <n v="0"/>
    <n v="21.06"/>
    <n v="0"/>
    <n v="0"/>
    <n v="29.821869326823354"/>
    <m/>
    <m/>
    <n v="135163.07999999999"/>
    <n v="0"/>
    <n v="0"/>
    <n v="191396.75733955228"/>
    <n v="0"/>
    <n v="0"/>
  </r>
  <r>
    <s v="Regular"/>
    <x v="0"/>
    <x v="0"/>
    <x v="1"/>
    <x v="0"/>
    <x v="0"/>
    <x v="0"/>
    <x v="1"/>
    <x v="7"/>
    <n v="6820"/>
    <n v="6820"/>
    <n v="0"/>
    <n v="0"/>
    <n v="0"/>
    <n v="0"/>
    <n v="15"/>
    <x v="0"/>
    <n v="0"/>
    <n v="6"/>
    <n v="0"/>
    <n v="0"/>
    <n v="21.06"/>
    <n v="0"/>
    <n v="0"/>
    <n v="29.821869326823354"/>
    <m/>
    <m/>
    <n v="143629.19999999998"/>
    <n v="0"/>
    <n v="0"/>
    <n v="203385.14880893528"/>
    <n v="0"/>
    <n v="0"/>
  </r>
  <r>
    <s v="Regular"/>
    <x v="0"/>
    <x v="0"/>
    <x v="1"/>
    <x v="0"/>
    <x v="0"/>
    <x v="0"/>
    <x v="1"/>
    <x v="8"/>
    <n v="6762"/>
    <n v="6762"/>
    <n v="0"/>
    <n v="0"/>
    <n v="0"/>
    <n v="0"/>
    <n v="16"/>
    <x v="0"/>
    <n v="0"/>
    <n v="6"/>
    <n v="0"/>
    <n v="0"/>
    <n v="21.06"/>
    <n v="0"/>
    <n v="0"/>
    <n v="29.821869326823354"/>
    <m/>
    <m/>
    <n v="142407.72"/>
    <n v="0"/>
    <n v="0"/>
    <n v="201655.48038797951"/>
    <n v="0"/>
    <n v="0"/>
  </r>
  <r>
    <s v="Regular"/>
    <x v="0"/>
    <x v="0"/>
    <x v="1"/>
    <x v="0"/>
    <x v="0"/>
    <x v="0"/>
    <x v="1"/>
    <x v="9"/>
    <n v="6754"/>
    <n v="6754"/>
    <n v="0"/>
    <n v="0"/>
    <n v="0"/>
    <n v="0"/>
    <n v="16"/>
    <x v="0"/>
    <n v="0"/>
    <n v="6"/>
    <n v="0"/>
    <n v="0"/>
    <n v="21.06"/>
    <n v="0"/>
    <n v="0"/>
    <n v="29.821869326823354"/>
    <m/>
    <m/>
    <n v="142239.24"/>
    <n v="0"/>
    <n v="0"/>
    <n v="201416.90543336494"/>
    <n v="0"/>
    <n v="0"/>
  </r>
  <r>
    <s v="Regular"/>
    <x v="0"/>
    <x v="0"/>
    <x v="1"/>
    <x v="0"/>
    <x v="0"/>
    <x v="0"/>
    <x v="1"/>
    <x v="10"/>
    <n v="6303"/>
    <n v="6303"/>
    <n v="0"/>
    <n v="0"/>
    <n v="0"/>
    <n v="0"/>
    <n v="16"/>
    <x v="0"/>
    <n v="0"/>
    <n v="6"/>
    <n v="0"/>
    <n v="0"/>
    <n v="21.06"/>
    <n v="0"/>
    <n v="0"/>
    <n v="29.821869326823354"/>
    <m/>
    <m/>
    <n v="132741.18"/>
    <n v="0"/>
    <n v="0"/>
    <n v="187967.24236696761"/>
    <n v="0"/>
    <n v="0"/>
  </r>
  <r>
    <s v="PROJETADO"/>
    <x v="0"/>
    <x v="0"/>
    <x v="1"/>
    <x v="0"/>
    <x v="0"/>
    <x v="0"/>
    <x v="1"/>
    <x v="11"/>
    <n v="6303"/>
    <n v="6303"/>
    <n v="0"/>
    <n v="0"/>
    <n v="0"/>
    <n v="0"/>
    <n v="16"/>
    <x v="0"/>
    <n v="0"/>
    <n v="6"/>
    <n v="0"/>
    <n v="0"/>
    <n v="21.06"/>
    <n v="0"/>
    <n v="0"/>
    <n v="29.821869326823354"/>
    <m/>
    <m/>
    <n v="132741.18"/>
    <n v="0"/>
    <n v="0"/>
    <n v="187967.24236696761"/>
    <n v="0"/>
    <n v="0"/>
  </r>
  <r>
    <s v="Regular"/>
    <x v="0"/>
    <x v="0"/>
    <x v="1"/>
    <x v="0"/>
    <x v="0"/>
    <x v="0"/>
    <x v="2"/>
    <x v="0"/>
    <n v="0"/>
    <n v="0"/>
    <n v="125.227"/>
    <n v="125.227"/>
    <n v="125.227"/>
    <n v="125.227"/>
    <n v="0"/>
    <x v="0"/>
    <n v="0"/>
    <n v="0"/>
    <n v="7"/>
    <n v="50"/>
    <n v="0"/>
    <n v="1568.04"/>
    <n v="242.35"/>
    <m/>
    <n v="2263.994888127495"/>
    <n v="191.00751406315655"/>
    <n v="0"/>
    <n v="196360.94508"/>
    <n v="30348.763449999999"/>
    <n v="0"/>
    <n v="283513.2878555418"/>
    <n v="23919.297963586905"/>
  </r>
  <r>
    <s v="Regular"/>
    <x v="0"/>
    <x v="0"/>
    <x v="1"/>
    <x v="0"/>
    <x v="0"/>
    <x v="0"/>
    <x v="2"/>
    <x v="1"/>
    <n v="0"/>
    <n v="0"/>
    <n v="115.479"/>
    <n v="115.479"/>
    <n v="115.479"/>
    <n v="115.479"/>
    <n v="0"/>
    <x v="0"/>
    <n v="0"/>
    <n v="0"/>
    <n v="7"/>
    <n v="50"/>
    <n v="0"/>
    <n v="1568.04"/>
    <n v="242.35"/>
    <m/>
    <n v="2263.994888127495"/>
    <n v="191.00751406315655"/>
    <n v="0"/>
    <n v="181075.69115999999"/>
    <n v="27986.335650000001"/>
    <n v="0"/>
    <n v="261443.86568607498"/>
    <n v="22057.356716499256"/>
  </r>
  <r>
    <s v="Regular"/>
    <x v="0"/>
    <x v="0"/>
    <x v="1"/>
    <x v="0"/>
    <x v="0"/>
    <x v="0"/>
    <x v="2"/>
    <x v="2"/>
    <n v="0"/>
    <n v="0"/>
    <n v="118.11499999999999"/>
    <n v="118.11499999999999"/>
    <n v="118.11499999999999"/>
    <n v="118.11499999999999"/>
    <n v="0"/>
    <x v="0"/>
    <n v="0"/>
    <n v="0"/>
    <n v="7"/>
    <n v="50"/>
    <n v="0"/>
    <n v="1568.04"/>
    <n v="242.35"/>
    <m/>
    <n v="2263.994888127495"/>
    <n v="191.00751406315655"/>
    <n v="0"/>
    <n v="185209.04459999999"/>
    <n v="28625.170249999999"/>
    <n v="0"/>
    <n v="267411.75621117908"/>
    <n v="22560.852523569734"/>
  </r>
  <r>
    <s v="Regular"/>
    <x v="0"/>
    <x v="0"/>
    <x v="1"/>
    <x v="0"/>
    <x v="0"/>
    <x v="0"/>
    <x v="2"/>
    <x v="3"/>
    <n v="0"/>
    <n v="0"/>
    <n v="138.297"/>
    <n v="138.297"/>
    <n v="138.297"/>
    <n v="138.297"/>
    <n v="0"/>
    <x v="0"/>
    <n v="0"/>
    <n v="0"/>
    <n v="7"/>
    <n v="50"/>
    <n v="0"/>
    <n v="1568.04"/>
    <n v="242.35"/>
    <m/>
    <n v="2263.994888127495"/>
    <n v="191.00751406315655"/>
    <n v="0"/>
    <n v="216855.22787999999"/>
    <n v="33516.277949999996"/>
    <n v="0"/>
    <n v="313103.70104336814"/>
    <n v="26415.766172392359"/>
  </r>
  <r>
    <s v="Regular"/>
    <x v="0"/>
    <x v="0"/>
    <x v="1"/>
    <x v="0"/>
    <x v="0"/>
    <x v="0"/>
    <x v="2"/>
    <x v="4"/>
    <n v="0"/>
    <n v="0"/>
    <n v="149.96299999999999"/>
    <n v="149.96299999999999"/>
    <n v="149.96299999999999"/>
    <n v="149.96299999999999"/>
    <n v="0"/>
    <x v="0"/>
    <n v="0"/>
    <n v="0"/>
    <n v="7"/>
    <n v="50"/>
    <n v="0"/>
    <n v="1568.04"/>
    <n v="242.35"/>
    <m/>
    <n v="2263.994888127495"/>
    <n v="191.00751406315655"/>
    <n v="0"/>
    <n v="235147.98251999999"/>
    <n v="36343.533049999998"/>
    <n v="0"/>
    <n v="339515.4654082635"/>
    <n v="28644.059831453145"/>
  </r>
  <r>
    <s v="Regular"/>
    <x v="0"/>
    <x v="0"/>
    <x v="1"/>
    <x v="0"/>
    <x v="0"/>
    <x v="0"/>
    <x v="2"/>
    <x v="5"/>
    <n v="0"/>
    <n v="0"/>
    <n v="148.72"/>
    <n v="148.72"/>
    <n v="148.72"/>
    <n v="148.72"/>
    <n v="0"/>
    <x v="0"/>
    <n v="0"/>
    <n v="0"/>
    <n v="7"/>
    <n v="50"/>
    <n v="0"/>
    <n v="1568.04"/>
    <n v="242.35"/>
    <m/>
    <n v="2263.994888127495"/>
    <n v="191.00751406315655"/>
    <n v="0"/>
    <n v="233198.9088"/>
    <n v="36042.292000000001"/>
    <n v="0"/>
    <n v="336701.31976232107"/>
    <n v="28406.63749147264"/>
  </r>
  <r>
    <s v="Regular"/>
    <x v="0"/>
    <x v="0"/>
    <x v="1"/>
    <x v="0"/>
    <x v="0"/>
    <x v="0"/>
    <x v="2"/>
    <x v="6"/>
    <n v="0"/>
    <n v="0"/>
    <n v="138.72399999999999"/>
    <n v="138.72399999999999"/>
    <n v="138.72399999999999"/>
    <n v="138.72399999999999"/>
    <n v="0"/>
    <x v="0"/>
    <n v="0"/>
    <n v="0"/>
    <n v="7"/>
    <n v="50"/>
    <n v="0"/>
    <n v="1568.04"/>
    <n v="242.35"/>
    <m/>
    <n v="2263.994888127495"/>
    <n v="191.00751406315655"/>
    <n v="0"/>
    <n v="217524.78095999997"/>
    <n v="33619.761399999996"/>
    <n v="0"/>
    <n v="314070.42686059861"/>
    <n v="26497.326380897328"/>
  </r>
  <r>
    <s v="Regular"/>
    <x v="0"/>
    <x v="0"/>
    <x v="1"/>
    <x v="0"/>
    <x v="0"/>
    <x v="0"/>
    <x v="2"/>
    <x v="7"/>
    <n v="0"/>
    <n v="0"/>
    <n v="114.376"/>
    <n v="114.376"/>
    <n v="114.376"/>
    <n v="114.376"/>
    <n v="0"/>
    <x v="0"/>
    <n v="0"/>
    <n v="0"/>
    <n v="7"/>
    <n v="50"/>
    <n v="0"/>
    <n v="1568.04"/>
    <n v="242.35"/>
    <m/>
    <n v="2263.994888127495"/>
    <n v="191.00751406315655"/>
    <n v="0"/>
    <n v="179346.14304"/>
    <n v="27719.0236"/>
    <n v="0"/>
    <n v="258946.67932447037"/>
    <n v="21846.675428487593"/>
  </r>
  <r>
    <s v="Regular"/>
    <x v="0"/>
    <x v="0"/>
    <x v="1"/>
    <x v="0"/>
    <x v="0"/>
    <x v="0"/>
    <x v="2"/>
    <x v="8"/>
    <n v="0"/>
    <n v="0"/>
    <n v="136.83500000000001"/>
    <n v="136.83500000000001"/>
    <n v="136.83500000000001"/>
    <n v="136.83500000000001"/>
    <n v="0"/>
    <x v="0"/>
    <n v="0"/>
    <n v="0"/>
    <n v="7"/>
    <n v="50"/>
    <n v="0"/>
    <n v="1568.04"/>
    <n v="242.35"/>
    <m/>
    <n v="2263.994888127495"/>
    <n v="191.00751406315655"/>
    <n v="0"/>
    <n v="214562.75340000002"/>
    <n v="33161.962250000004"/>
    <n v="0"/>
    <n v="309793.74051692581"/>
    <n v="26136.513186832028"/>
  </r>
  <r>
    <s v="Regular"/>
    <x v="0"/>
    <x v="0"/>
    <x v="1"/>
    <x v="0"/>
    <x v="0"/>
    <x v="0"/>
    <x v="2"/>
    <x v="9"/>
    <n v="0"/>
    <n v="0"/>
    <n v="109.89700000000001"/>
    <n v="109.89700000000001"/>
    <n v="109.89700000000001"/>
    <n v="109.89700000000001"/>
    <n v="0"/>
    <x v="0"/>
    <n v="0"/>
    <n v="0"/>
    <n v="7"/>
    <n v="50"/>
    <n v="0"/>
    <n v="1568.04"/>
    <n v="242.35"/>
    <m/>
    <n v="2263.994888127495"/>
    <n v="191.00751406315655"/>
    <n v="0"/>
    <n v="172322.89188000001"/>
    <n v="26633.537950000002"/>
    <n v="0"/>
    <n v="248806.24622054733"/>
    <n v="20991.152772998717"/>
  </r>
  <r>
    <s v="Regular"/>
    <x v="0"/>
    <x v="0"/>
    <x v="1"/>
    <x v="0"/>
    <x v="0"/>
    <x v="0"/>
    <x v="2"/>
    <x v="10"/>
    <n v="0"/>
    <n v="0"/>
    <n v="114.94499999999999"/>
    <n v="114.94499999999999"/>
    <n v="114.94499999999999"/>
    <n v="114.94499999999999"/>
    <n v="0"/>
    <x v="0"/>
    <n v="0"/>
    <n v="0"/>
    <n v="7"/>
    <n v="50"/>
    <n v="0"/>
    <n v="1568.04"/>
    <n v="242.35"/>
    <m/>
    <n v="2263.994888127495"/>
    <n v="191.00751406315655"/>
    <n v="0"/>
    <n v="180238.3578"/>
    <n v="27856.920749999997"/>
    <n v="0"/>
    <n v="260234.89241581489"/>
    <n v="21955.358703989528"/>
  </r>
  <r>
    <s v="PROJETADO"/>
    <x v="0"/>
    <x v="0"/>
    <x v="1"/>
    <x v="0"/>
    <x v="0"/>
    <x v="0"/>
    <x v="2"/>
    <x v="11"/>
    <n v="0"/>
    <n v="0"/>
    <n v="114.94499999999999"/>
    <n v="114.94499999999999"/>
    <n v="114.94499999999999"/>
    <n v="114.94499999999999"/>
    <n v="0"/>
    <x v="0"/>
    <n v="0"/>
    <n v="0"/>
    <n v="7"/>
    <n v="50"/>
    <n v="0"/>
    <n v="1568.04"/>
    <n v="242.35"/>
    <m/>
    <n v="2263.994888127495"/>
    <n v="191.00751406315655"/>
    <n v="0"/>
    <n v="180238.3578"/>
    <n v="27856.920749999997"/>
    <n v="0"/>
    <n v="260234.89241581489"/>
    <n v="21955.358703989528"/>
  </r>
  <r>
    <s v="Regular"/>
    <x v="1"/>
    <x v="1"/>
    <x v="2"/>
    <x v="1"/>
    <x v="0"/>
    <x v="0"/>
    <x v="1"/>
    <x v="0"/>
    <n v="0"/>
    <n v="0"/>
    <n v="439.92200000000003"/>
    <n v="439.92200000000003"/>
    <n v="439.92200000000003"/>
    <n v="439.92200000000003"/>
    <n v="2828"/>
    <x v="0"/>
    <n v="0"/>
    <n v="0"/>
    <n v="18"/>
    <n v="56"/>
    <n v="0"/>
    <n v="306.19"/>
    <n v="242.35"/>
    <m/>
    <n v="448.02163143730991"/>
    <n v="191.00751406315655"/>
    <n v="0"/>
    <n v="134699.71718000001"/>
    <n v="106615.09670000001"/>
    <n v="0"/>
    <n v="197094.57214516425"/>
    <n v="84028.407601691957"/>
  </r>
  <r>
    <s v="Refaturamento - Regular"/>
    <x v="1"/>
    <x v="1"/>
    <x v="2"/>
    <x v="1"/>
    <x v="0"/>
    <x v="0"/>
    <x v="1"/>
    <x v="0"/>
    <n v="0"/>
    <n v="0"/>
    <n v="-0.05"/>
    <n v="-0.05"/>
    <n v="-0.05"/>
    <n v="-0.05"/>
    <n v="0"/>
    <x v="0"/>
    <n v="0"/>
    <n v="0"/>
    <n v="18"/>
    <n v="56"/>
    <n v="0"/>
    <n v="306.19"/>
    <n v="242.35"/>
    <m/>
    <n v="448.02163143730991"/>
    <n v="191.00751406315655"/>
    <n v="0"/>
    <n v="-15.3095"/>
    <n v="-12.1175"/>
    <n v="0"/>
    <n v="-22.401081571865497"/>
    <n v="-9.5503757031578278"/>
  </r>
  <r>
    <s v="Sistema de Compensação"/>
    <x v="1"/>
    <x v="1"/>
    <x v="2"/>
    <x v="1"/>
    <x v="0"/>
    <x v="0"/>
    <x v="1"/>
    <x v="0"/>
    <n v="0"/>
    <n v="0"/>
    <n v="1.4510000000000001"/>
    <n v="1.4510000000000001"/>
    <n v="1.4510000000000001"/>
    <n v="1.4510000000000001"/>
    <n v="15"/>
    <x v="0"/>
    <n v="0"/>
    <n v="0"/>
    <n v="18"/>
    <n v="56"/>
    <n v="0"/>
    <n v="306.19"/>
    <n v="242.35"/>
    <m/>
    <n v="448.02163143730991"/>
    <n v="191.00751406315655"/>
    <n v="0"/>
    <n v="444.28169000000003"/>
    <n v="351.64985000000001"/>
    <n v="0"/>
    <n v="650.07938721553671"/>
    <n v="277.15190290564016"/>
  </r>
  <r>
    <s v="Regular"/>
    <x v="1"/>
    <x v="1"/>
    <x v="2"/>
    <x v="1"/>
    <x v="0"/>
    <x v="0"/>
    <x v="1"/>
    <x v="1"/>
    <n v="0"/>
    <n v="0"/>
    <n v="455.92"/>
    <n v="455.92"/>
    <n v="455.92"/>
    <n v="455.92"/>
    <n v="2831"/>
    <x v="0"/>
    <n v="0"/>
    <n v="0"/>
    <n v="18"/>
    <n v="56"/>
    <n v="0"/>
    <n v="306.19"/>
    <n v="242.35"/>
    <m/>
    <n v="448.02163143730991"/>
    <n v="191.00751406315655"/>
    <n v="0"/>
    <n v="139598.14480000001"/>
    <n v="110492.212"/>
    <n v="0"/>
    <n v="204262.02220489833"/>
    <n v="87084.145811674331"/>
  </r>
  <r>
    <s v="Refaturamento - Regular"/>
    <x v="1"/>
    <x v="1"/>
    <x v="2"/>
    <x v="1"/>
    <x v="0"/>
    <x v="0"/>
    <x v="1"/>
    <x v="1"/>
    <n v="0"/>
    <n v="0"/>
    <n v="-1.002"/>
    <n v="-1.002"/>
    <n v="-1.002"/>
    <n v="-1.002"/>
    <n v="0"/>
    <x v="0"/>
    <n v="0"/>
    <n v="0"/>
    <n v="18"/>
    <n v="56"/>
    <n v="0"/>
    <n v="306.19"/>
    <n v="242.35"/>
    <m/>
    <n v="448.02163143730991"/>
    <n v="191.00751406315655"/>
    <n v="0"/>
    <n v="-306.80237999999997"/>
    <n v="-242.8347"/>
    <n v="0"/>
    <n v="-448.91767470018453"/>
    <n v="-191.38952909128287"/>
  </r>
  <r>
    <s v="Sistema de Compensação"/>
    <x v="1"/>
    <x v="1"/>
    <x v="2"/>
    <x v="1"/>
    <x v="0"/>
    <x v="0"/>
    <x v="1"/>
    <x v="1"/>
    <n v="0"/>
    <n v="0"/>
    <n v="1.962"/>
    <n v="1.962"/>
    <n v="1.962"/>
    <n v="1.962"/>
    <n v="16"/>
    <x v="0"/>
    <n v="0"/>
    <n v="0"/>
    <n v="18"/>
    <n v="56"/>
    <n v="0"/>
    <n v="306.19"/>
    <n v="242.35"/>
    <m/>
    <n v="448.02163143730991"/>
    <n v="191.00751406315655"/>
    <n v="0"/>
    <n v="600.74477999999999"/>
    <n v="475.4907"/>
    <n v="0"/>
    <n v="879.018440880002"/>
    <n v="374.75674259191317"/>
  </r>
  <r>
    <s v="Regular"/>
    <x v="1"/>
    <x v="1"/>
    <x v="2"/>
    <x v="1"/>
    <x v="0"/>
    <x v="0"/>
    <x v="1"/>
    <x v="2"/>
    <n v="0"/>
    <n v="0"/>
    <n v="467.74700000000001"/>
    <n v="467.74700000000001"/>
    <n v="467.74700000000001"/>
    <n v="467.74700000000001"/>
    <n v="2835"/>
    <x v="0"/>
    <n v="0"/>
    <n v="0"/>
    <n v="18"/>
    <n v="56"/>
    <n v="0"/>
    <n v="306.19"/>
    <n v="242.35"/>
    <m/>
    <n v="448.02163143730991"/>
    <n v="191.00751406315655"/>
    <n v="0"/>
    <n v="143219.45392999999"/>
    <n v="113358.48545000001"/>
    <n v="0"/>
    <n v="209560.77403990741"/>
    <n v="89343.191680499294"/>
  </r>
  <r>
    <s v="Refaturamento - Regular"/>
    <x v="1"/>
    <x v="1"/>
    <x v="2"/>
    <x v="1"/>
    <x v="0"/>
    <x v="0"/>
    <x v="1"/>
    <x v="2"/>
    <n v="0"/>
    <n v="0"/>
    <n v="-0.03"/>
    <n v="-0.03"/>
    <n v="-0.03"/>
    <n v="-0.03"/>
    <n v="0"/>
    <x v="0"/>
    <n v="0"/>
    <n v="0"/>
    <n v="18"/>
    <n v="56"/>
    <n v="0"/>
    <n v="306.19"/>
    <n v="242.35"/>
    <m/>
    <n v="448.02163143730991"/>
    <n v="191.00751406315655"/>
    <n v="0"/>
    <n v="-9.1856999999999989"/>
    <n v="-7.2704999999999993"/>
    <n v="0"/>
    <n v="-13.440648943119296"/>
    <n v="-5.730225421894696"/>
  </r>
  <r>
    <s v="Sistema de Compensação"/>
    <x v="1"/>
    <x v="1"/>
    <x v="2"/>
    <x v="1"/>
    <x v="0"/>
    <x v="0"/>
    <x v="1"/>
    <x v="2"/>
    <n v="0"/>
    <n v="0"/>
    <n v="2.274"/>
    <n v="2.274"/>
    <n v="2.274"/>
    <n v="2.274"/>
    <n v="18"/>
    <x v="0"/>
    <n v="0"/>
    <n v="0"/>
    <n v="18"/>
    <n v="56"/>
    <n v="0"/>
    <n v="306.19"/>
    <n v="242.35"/>
    <m/>
    <n v="448.02163143730991"/>
    <n v="191.00751406315655"/>
    <n v="0"/>
    <n v="696.27606000000003"/>
    <n v="551.10389999999995"/>
    <n v="0"/>
    <n v="1018.8011898884428"/>
    <n v="434.351086979618"/>
  </r>
  <r>
    <s v="Regular"/>
    <x v="1"/>
    <x v="1"/>
    <x v="2"/>
    <x v="1"/>
    <x v="0"/>
    <x v="0"/>
    <x v="1"/>
    <x v="3"/>
    <n v="0"/>
    <n v="0"/>
    <n v="469.399"/>
    <n v="469.399"/>
    <n v="469.399"/>
    <n v="469.399"/>
    <n v="2841"/>
    <x v="0"/>
    <n v="0"/>
    <n v="0"/>
    <n v="18"/>
    <n v="56"/>
    <n v="0"/>
    <n v="306.19"/>
    <n v="242.35"/>
    <m/>
    <n v="448.02163143730991"/>
    <n v="191.00751406315655"/>
    <n v="0"/>
    <n v="143725.27981000001"/>
    <n v="113758.84765"/>
    <n v="0"/>
    <n v="210300.90577504184"/>
    <n v="89658.736093731626"/>
  </r>
  <r>
    <s v="Refaturamento - Regular"/>
    <x v="1"/>
    <x v="1"/>
    <x v="2"/>
    <x v="1"/>
    <x v="0"/>
    <x v="0"/>
    <x v="1"/>
    <x v="3"/>
    <n v="0"/>
    <n v="0"/>
    <n v="-0.377"/>
    <n v="-0.377"/>
    <n v="-0.377"/>
    <n v="-0.377"/>
    <n v="0"/>
    <x v="0"/>
    <n v="0"/>
    <n v="0"/>
    <n v="18"/>
    <n v="56"/>
    <n v="0"/>
    <n v="306.19"/>
    <n v="242.35"/>
    <m/>
    <n v="448.02163143730991"/>
    <n v="191.00751406315655"/>
    <n v="0"/>
    <n v="-115.43362999999999"/>
    <n v="-91.365949999999998"/>
    <n v="0"/>
    <n v="-168.90415505186584"/>
    <n v="-72.00983280181002"/>
  </r>
  <r>
    <s v="Sistema de Compensação"/>
    <x v="1"/>
    <x v="1"/>
    <x v="2"/>
    <x v="1"/>
    <x v="0"/>
    <x v="0"/>
    <x v="1"/>
    <x v="3"/>
    <n v="0"/>
    <n v="0"/>
    <n v="1.8580000000000001"/>
    <n v="1.8580000000000001"/>
    <n v="1.8580000000000001"/>
    <n v="1.8580000000000001"/>
    <n v="18"/>
    <x v="0"/>
    <n v="0"/>
    <n v="0"/>
    <n v="18"/>
    <n v="56"/>
    <n v="0"/>
    <n v="306.19"/>
    <n v="242.35"/>
    <m/>
    <n v="448.02163143730991"/>
    <n v="191.00751406315655"/>
    <n v="0"/>
    <n v="568.90102000000002"/>
    <n v="450.28630000000004"/>
    <n v="0"/>
    <n v="832.42419121052183"/>
    <n v="354.89196112934491"/>
  </r>
  <r>
    <s v="Regular"/>
    <x v="1"/>
    <x v="1"/>
    <x v="2"/>
    <x v="1"/>
    <x v="0"/>
    <x v="0"/>
    <x v="1"/>
    <x v="4"/>
    <n v="0"/>
    <n v="0"/>
    <n v="520.61"/>
    <n v="520.61"/>
    <n v="520.61"/>
    <n v="520.61"/>
    <n v="2846"/>
    <x v="0"/>
    <n v="0"/>
    <n v="0"/>
    <n v="18"/>
    <n v="56"/>
    <n v="0"/>
    <n v="306.19"/>
    <n v="242.35"/>
    <m/>
    <n v="448.02163143730991"/>
    <n v="191.00751406315655"/>
    <n v="0"/>
    <n v="159405.5759"/>
    <n v="126169.83349999999"/>
    <n v="0"/>
    <n v="233244.54154257791"/>
    <n v="99440.421896419939"/>
  </r>
  <r>
    <s v="Sistema de Compensação"/>
    <x v="1"/>
    <x v="1"/>
    <x v="2"/>
    <x v="1"/>
    <x v="0"/>
    <x v="0"/>
    <x v="1"/>
    <x v="4"/>
    <n v="0"/>
    <n v="0"/>
    <n v="2.0299999999999998"/>
    <n v="2.0299999999999998"/>
    <n v="2.0299999999999998"/>
    <n v="2.0299999999999998"/>
    <n v="19"/>
    <x v="0"/>
    <n v="0"/>
    <n v="0"/>
    <n v="18"/>
    <n v="56"/>
    <n v="0"/>
    <n v="306.19"/>
    <n v="242.35"/>
    <m/>
    <n v="448.02163143730991"/>
    <n v="191.00751406315655"/>
    <n v="0"/>
    <n v="621.56569999999988"/>
    <n v="491.97049999999996"/>
    <n v="0"/>
    <n v="909.483911817739"/>
    <n v="387.74525354820776"/>
  </r>
  <r>
    <s v="Regular"/>
    <x v="1"/>
    <x v="1"/>
    <x v="2"/>
    <x v="1"/>
    <x v="0"/>
    <x v="0"/>
    <x v="1"/>
    <x v="5"/>
    <n v="0"/>
    <n v="0"/>
    <n v="667.26"/>
    <n v="667.26"/>
    <n v="667.26"/>
    <n v="667.26"/>
    <n v="2847"/>
    <x v="0"/>
    <n v="0"/>
    <n v="0"/>
    <n v="18"/>
    <n v="56"/>
    <n v="0"/>
    <n v="306.19"/>
    <n v="242.35"/>
    <m/>
    <n v="448.02163143730991"/>
    <n v="191.00751406315655"/>
    <n v="0"/>
    <n v="204308.3394"/>
    <n v="161710.46099999998"/>
    <n v="0"/>
    <n v="298946.91379285941"/>
    <n v="127451.67383378184"/>
  </r>
  <r>
    <s v="Refaturamento - Regular"/>
    <x v="1"/>
    <x v="1"/>
    <x v="2"/>
    <x v="1"/>
    <x v="0"/>
    <x v="0"/>
    <x v="1"/>
    <x v="5"/>
    <n v="0"/>
    <n v="0"/>
    <n v="-3.3889999999999998"/>
    <n v="-3.3889999999999998"/>
    <n v="-3.3889999999999998"/>
    <n v="-3.3889999999999998"/>
    <n v="0"/>
    <x v="0"/>
    <n v="0"/>
    <n v="0"/>
    <n v="18"/>
    <n v="56"/>
    <n v="0"/>
    <n v="306.19"/>
    <n v="242.35"/>
    <m/>
    <n v="448.02163143730991"/>
    <n v="191.00751406315655"/>
    <n v="0"/>
    <n v="-1037.6779099999999"/>
    <n v="-821.32414999999992"/>
    <n v="0"/>
    <n v="-1518.3453089410432"/>
    <n v="-647.32446516003745"/>
  </r>
  <r>
    <s v="Sistema de Compensação"/>
    <x v="1"/>
    <x v="1"/>
    <x v="2"/>
    <x v="1"/>
    <x v="0"/>
    <x v="0"/>
    <x v="1"/>
    <x v="5"/>
    <n v="0"/>
    <n v="0"/>
    <n v="3.0150000000000001"/>
    <n v="3.0150000000000001"/>
    <n v="3.0150000000000001"/>
    <n v="3.0150000000000001"/>
    <n v="20"/>
    <x v="0"/>
    <n v="0"/>
    <n v="0"/>
    <n v="18"/>
    <n v="56"/>
    <n v="0"/>
    <n v="306.19"/>
    <n v="242.35"/>
    <m/>
    <n v="448.02163143730991"/>
    <n v="191.00751406315655"/>
    <n v="0"/>
    <n v="923.16285000000005"/>
    <n v="730.68525"/>
    <n v="0"/>
    <n v="1350.7852187834894"/>
    <n v="575.88765490041703"/>
  </r>
  <r>
    <s v="Regular"/>
    <x v="1"/>
    <x v="1"/>
    <x v="2"/>
    <x v="1"/>
    <x v="0"/>
    <x v="0"/>
    <x v="1"/>
    <x v="6"/>
    <n v="0"/>
    <n v="0"/>
    <n v="532.94500000000005"/>
    <n v="532.94500000000005"/>
    <n v="532.94500000000005"/>
    <n v="532.94500000000005"/>
    <n v="2822"/>
    <x v="0"/>
    <n v="0"/>
    <n v="0"/>
    <n v="18"/>
    <n v="56"/>
    <n v="0"/>
    <n v="306.19"/>
    <n v="242.35"/>
    <m/>
    <n v="448.02163143730991"/>
    <n v="191.00751406315655"/>
    <n v="0"/>
    <n v="163182.42955"/>
    <n v="129159.22075000001"/>
    <n v="0"/>
    <n v="238770.88836635716"/>
    <n v="101796.49958238898"/>
  </r>
  <r>
    <s v="Refaturamento - Regular"/>
    <x v="1"/>
    <x v="1"/>
    <x v="2"/>
    <x v="1"/>
    <x v="0"/>
    <x v="0"/>
    <x v="1"/>
    <x v="6"/>
    <n v="0"/>
    <n v="0"/>
    <n v="-1.036"/>
    <n v="-1.036"/>
    <n v="-1.036"/>
    <n v="-1.036"/>
    <n v="0"/>
    <x v="0"/>
    <n v="0"/>
    <n v="0"/>
    <n v="18"/>
    <n v="56"/>
    <n v="0"/>
    <n v="306.19"/>
    <n v="242.35"/>
    <m/>
    <n v="448.02163143730991"/>
    <n v="191.00751406315655"/>
    <n v="0"/>
    <n v="-317.21284000000003"/>
    <n v="-251.0746"/>
    <n v="0"/>
    <n v="-464.15041016905309"/>
    <n v="-197.88378456943019"/>
  </r>
  <r>
    <s v="Sistema de Compensação"/>
    <x v="1"/>
    <x v="1"/>
    <x v="2"/>
    <x v="1"/>
    <x v="0"/>
    <x v="0"/>
    <x v="1"/>
    <x v="6"/>
    <n v="0"/>
    <n v="0"/>
    <n v="2.6539999999999999"/>
    <n v="2.6539999999999999"/>
    <n v="2.6539999999999999"/>
    <n v="2.6539999999999999"/>
    <n v="18"/>
    <x v="0"/>
    <n v="0"/>
    <n v="0"/>
    <n v="18"/>
    <n v="56"/>
    <n v="0"/>
    <n v="306.19"/>
    <n v="242.35"/>
    <m/>
    <n v="448.02163143730991"/>
    <n v="191.00751406315655"/>
    <n v="0"/>
    <n v="812.62825999999995"/>
    <n v="643.19689999999991"/>
    <n v="0"/>
    <n v="1189.0494098346205"/>
    <n v="506.93394232361749"/>
  </r>
  <r>
    <s v="Regular"/>
    <x v="1"/>
    <x v="1"/>
    <x v="2"/>
    <x v="1"/>
    <x v="0"/>
    <x v="0"/>
    <x v="1"/>
    <x v="7"/>
    <n v="0"/>
    <n v="0"/>
    <n v="474.12099999999998"/>
    <n v="474.12099999999998"/>
    <n v="474.12099999999998"/>
    <n v="474.12099999999998"/>
    <n v="2814"/>
    <x v="0"/>
    <n v="0"/>
    <n v="0"/>
    <n v="18"/>
    <n v="56"/>
    <n v="0"/>
    <n v="306.19"/>
    <n v="242.35"/>
    <m/>
    <n v="448.02163143730991"/>
    <n v="191.00751406315655"/>
    <n v="0"/>
    <n v="145171.10898999998"/>
    <n v="114903.22434999999"/>
    <n v="0"/>
    <n v="212416.46391868879"/>
    <n v="90560.673575137844"/>
  </r>
  <r>
    <s v="Refaturamento - Regular"/>
    <x v="1"/>
    <x v="1"/>
    <x v="2"/>
    <x v="1"/>
    <x v="0"/>
    <x v="0"/>
    <x v="1"/>
    <x v="7"/>
    <n v="0"/>
    <n v="0"/>
    <n v="-0.76"/>
    <n v="-0.76"/>
    <n v="-0.76"/>
    <n v="-0.76"/>
    <n v="0"/>
    <x v="0"/>
    <n v="0"/>
    <n v="0"/>
    <n v="18"/>
    <n v="56"/>
    <n v="0"/>
    <n v="306.19"/>
    <n v="242.35"/>
    <m/>
    <n v="448.02163143730991"/>
    <n v="191.00751406315655"/>
    <n v="0"/>
    <n v="-232.70439999999999"/>
    <n v="-184.18600000000001"/>
    <n v="0"/>
    <n v="-340.49643989235551"/>
    <n v="-145.16571068799897"/>
  </r>
  <r>
    <s v="Sistema de Compensação"/>
    <x v="1"/>
    <x v="1"/>
    <x v="2"/>
    <x v="1"/>
    <x v="0"/>
    <x v="0"/>
    <x v="1"/>
    <x v="7"/>
    <n v="0"/>
    <n v="0"/>
    <n v="2.738"/>
    <n v="2.738"/>
    <n v="2.738"/>
    <n v="2.738"/>
    <n v="19"/>
    <x v="0"/>
    <n v="0"/>
    <n v="0"/>
    <n v="18"/>
    <n v="56"/>
    <n v="0"/>
    <n v="306.19"/>
    <n v="242.35"/>
    <m/>
    <n v="448.02163143730991"/>
    <n v="191.00751406315655"/>
    <n v="0"/>
    <n v="838.34821999999997"/>
    <n v="663.55430000000001"/>
    <n v="0"/>
    <n v="1226.6832268753544"/>
    <n v="522.97857350492268"/>
  </r>
  <r>
    <s v="Regular"/>
    <x v="1"/>
    <x v="1"/>
    <x v="2"/>
    <x v="1"/>
    <x v="0"/>
    <x v="0"/>
    <x v="1"/>
    <x v="8"/>
    <n v="0"/>
    <n v="0"/>
    <n v="422.15100000000001"/>
    <n v="422.15100000000001"/>
    <n v="422.15100000000001"/>
    <n v="422.15100000000001"/>
    <n v="2808"/>
    <x v="0"/>
    <n v="0"/>
    <n v="0"/>
    <n v="18"/>
    <n v="56"/>
    <n v="0"/>
    <n v="306.19"/>
    <n v="242.35"/>
    <m/>
    <n v="448.02163143730991"/>
    <n v="191.00751406315655"/>
    <n v="0"/>
    <n v="129258.41469000001"/>
    <n v="102308.29485000001"/>
    <n v="0"/>
    <n v="189132.77973289182"/>
    <n v="80634.013069275607"/>
  </r>
  <r>
    <s v="Refaturamento - Regular"/>
    <x v="1"/>
    <x v="1"/>
    <x v="2"/>
    <x v="1"/>
    <x v="0"/>
    <x v="0"/>
    <x v="1"/>
    <x v="8"/>
    <n v="0"/>
    <n v="0"/>
    <n v="-0.97599999999999998"/>
    <n v="-0.97599999999999998"/>
    <n v="-0.97599999999999998"/>
    <n v="-0.97599999999999998"/>
    <n v="0"/>
    <x v="0"/>
    <n v="0"/>
    <n v="0"/>
    <n v="18"/>
    <n v="56"/>
    <n v="0"/>
    <n v="306.19"/>
    <n v="242.35"/>
    <m/>
    <n v="448.02163143730991"/>
    <n v="191.00751406315655"/>
    <n v="0"/>
    <n v="-298.84143999999998"/>
    <n v="-236.53359999999998"/>
    <n v="0"/>
    <n v="-437.26911228281443"/>
    <n v="-186.42333372564079"/>
  </r>
  <r>
    <s v="Sistema de Compensação"/>
    <x v="1"/>
    <x v="1"/>
    <x v="2"/>
    <x v="1"/>
    <x v="0"/>
    <x v="0"/>
    <x v="1"/>
    <x v="8"/>
    <n v="0"/>
    <n v="0"/>
    <n v="2.1309999999999998"/>
    <n v="2.1309999999999998"/>
    <n v="2.1309999999999998"/>
    <n v="2.1309999999999998"/>
    <n v="20"/>
    <x v="0"/>
    <n v="0"/>
    <n v="0"/>
    <n v="18"/>
    <n v="56"/>
    <n v="0"/>
    <n v="306.19"/>
    <n v="242.35"/>
    <m/>
    <n v="448.02163143730991"/>
    <n v="191.00751406315655"/>
    <n v="0"/>
    <n v="652.49088999999992"/>
    <n v="516.4478499999999"/>
    <n v="0"/>
    <n v="954.73409659290735"/>
    <n v="407.03701246858657"/>
  </r>
  <r>
    <s v="Regular"/>
    <x v="1"/>
    <x v="1"/>
    <x v="2"/>
    <x v="1"/>
    <x v="0"/>
    <x v="0"/>
    <x v="1"/>
    <x v="9"/>
    <n v="0"/>
    <n v="0"/>
    <n v="476.57"/>
    <n v="476.57"/>
    <n v="476.57"/>
    <n v="476.57"/>
    <n v="2835"/>
    <x v="0"/>
    <n v="0"/>
    <n v="0"/>
    <n v="18"/>
    <n v="56"/>
    <n v="0"/>
    <n v="306.19"/>
    <n v="242.35"/>
    <m/>
    <n v="448.02163143730991"/>
    <n v="191.00751406315655"/>
    <n v="0"/>
    <n v="145920.96830000001"/>
    <n v="115496.7395"/>
    <n v="0"/>
    <n v="213513.66889407879"/>
    <n v="91028.450977078508"/>
  </r>
  <r>
    <s v="Refaturamento - Regular"/>
    <x v="1"/>
    <x v="1"/>
    <x v="2"/>
    <x v="1"/>
    <x v="0"/>
    <x v="0"/>
    <x v="1"/>
    <x v="9"/>
    <n v="0"/>
    <n v="0"/>
    <n v="-7.0000000000000007E-2"/>
    <n v="-7.0000000000000007E-2"/>
    <n v="-7.0000000000000007E-2"/>
    <n v="-7.0000000000000007E-2"/>
    <n v="0"/>
    <x v="0"/>
    <n v="0"/>
    <n v="0"/>
    <n v="18"/>
    <n v="56"/>
    <n v="0"/>
    <n v="306.19"/>
    <n v="242.35"/>
    <m/>
    <n v="448.02163143730991"/>
    <n v="191.00751406315655"/>
    <n v="0"/>
    <n v="-21.433300000000003"/>
    <n v="-16.964500000000001"/>
    <n v="0"/>
    <n v="-31.361514200611698"/>
    <n v="-13.37052598442096"/>
  </r>
  <r>
    <s v="Sistema de Compensação"/>
    <x v="1"/>
    <x v="1"/>
    <x v="2"/>
    <x v="1"/>
    <x v="0"/>
    <x v="0"/>
    <x v="1"/>
    <x v="9"/>
    <n v="0"/>
    <n v="0"/>
    <n v="2.7589999999999999"/>
    <n v="2.7589999999999999"/>
    <n v="2.7589999999999999"/>
    <n v="2.7589999999999999"/>
    <n v="19"/>
    <x v="0"/>
    <n v="0"/>
    <n v="0"/>
    <n v="18"/>
    <n v="56"/>
    <n v="0"/>
    <n v="306.19"/>
    <n v="242.35"/>
    <m/>
    <n v="448.02163143730991"/>
    <n v="191.00751406315655"/>
    <n v="0"/>
    <n v="844.77820999999994"/>
    <n v="668.64364999999998"/>
    <n v="0"/>
    <n v="1236.091681135538"/>
    <n v="526.98973130024888"/>
  </r>
  <r>
    <s v="Regular"/>
    <x v="1"/>
    <x v="1"/>
    <x v="2"/>
    <x v="1"/>
    <x v="0"/>
    <x v="0"/>
    <x v="1"/>
    <x v="10"/>
    <n v="0"/>
    <n v="0"/>
    <n v="482.822"/>
    <n v="482.822"/>
    <n v="482.822"/>
    <n v="482.822"/>
    <n v="2843"/>
    <x v="0"/>
    <n v="0"/>
    <n v="0"/>
    <n v="18"/>
    <n v="56"/>
    <n v="0"/>
    <n v="306.19"/>
    <n v="242.35"/>
    <m/>
    <n v="448.02163143730991"/>
    <n v="191.00751406315655"/>
    <n v="0"/>
    <n v="147835.26818000001"/>
    <n v="117011.9117"/>
    <n v="0"/>
    <n v="216314.70013382484"/>
    <n v="92222.629955001365"/>
  </r>
  <r>
    <s v="Sistema de Compensação"/>
    <x v="1"/>
    <x v="1"/>
    <x v="2"/>
    <x v="1"/>
    <x v="0"/>
    <x v="0"/>
    <x v="1"/>
    <x v="10"/>
    <n v="0"/>
    <n v="0"/>
    <n v="3.181"/>
    <n v="3.181"/>
    <n v="3.181"/>
    <n v="3.181"/>
    <n v="20"/>
    <x v="0"/>
    <n v="0"/>
    <n v="0"/>
    <n v="18"/>
    <n v="56"/>
    <n v="0"/>
    <n v="306.19"/>
    <n v="242.35"/>
    <m/>
    <n v="448.02163143730991"/>
    <n v="191.00751406315655"/>
    <n v="0"/>
    <n v="973.99039000000005"/>
    <n v="770.91534999999999"/>
    <n v="0"/>
    <n v="1425.1568096020828"/>
    <n v="607.59490223490104"/>
  </r>
  <r>
    <s v="PROJETADO"/>
    <x v="1"/>
    <x v="1"/>
    <x v="2"/>
    <x v="1"/>
    <x v="0"/>
    <x v="0"/>
    <x v="1"/>
    <x v="11"/>
    <n v="0"/>
    <n v="0"/>
    <n v="482.822"/>
    <n v="482.822"/>
    <n v="482.822"/>
    <n v="482.822"/>
    <n v="2843"/>
    <x v="0"/>
    <n v="0"/>
    <n v="0"/>
    <n v="18"/>
    <n v="56"/>
    <n v="0"/>
    <n v="306.19"/>
    <n v="242.35"/>
    <m/>
    <n v="448.02163143730991"/>
    <n v="191.00751406315655"/>
    <n v="0"/>
    <n v="147835.26818000001"/>
    <n v="117011.9117"/>
    <n v="0"/>
    <n v="216314.70013382484"/>
    <n v="92222.629955001365"/>
  </r>
  <r>
    <s v="PROJETADO"/>
    <x v="1"/>
    <x v="1"/>
    <x v="2"/>
    <x v="1"/>
    <x v="0"/>
    <x v="0"/>
    <x v="1"/>
    <x v="11"/>
    <n v="0"/>
    <n v="0"/>
    <n v="3.181"/>
    <n v="3.181"/>
    <n v="3.181"/>
    <n v="3.181"/>
    <n v="20"/>
    <x v="0"/>
    <n v="0"/>
    <n v="0"/>
    <n v="18"/>
    <n v="56"/>
    <n v="0"/>
    <n v="306.19"/>
    <n v="242.35"/>
    <m/>
    <n v="448.02163143730991"/>
    <n v="191.00751406315655"/>
    <n v="0"/>
    <n v="973.99039000000005"/>
    <n v="770.91534999999999"/>
    <n v="0"/>
    <n v="1425.1568096020828"/>
    <n v="607.59490223490104"/>
  </r>
  <r>
    <s v="Regular"/>
    <x v="1"/>
    <x v="1"/>
    <x v="2"/>
    <x v="2"/>
    <x v="0"/>
    <x v="0"/>
    <x v="1"/>
    <x v="0"/>
    <n v="0"/>
    <n v="0"/>
    <n v="4.9800000000000004"/>
    <n v="4.9800000000000004"/>
    <n v="4.9800000000000004"/>
    <n v="4.9800000000000004"/>
    <n v="6"/>
    <x v="0"/>
    <n v="0"/>
    <n v="0"/>
    <n v="19"/>
    <n v="57"/>
    <n v="0"/>
    <n v="83.46"/>
    <n v="84.82"/>
    <m/>
    <n v="121.42333418640717"/>
    <n v="66.852629922104782"/>
    <n v="0"/>
    <n v="415.63080000000002"/>
    <n v="422.40359999999998"/>
    <n v="0"/>
    <n v="604.68820424830778"/>
    <n v="332.92609701208187"/>
  </r>
  <r>
    <s v="Regular"/>
    <x v="1"/>
    <x v="1"/>
    <x v="2"/>
    <x v="2"/>
    <x v="0"/>
    <x v="0"/>
    <x v="1"/>
    <x v="1"/>
    <n v="0"/>
    <n v="0"/>
    <n v="5.16"/>
    <n v="5.16"/>
    <n v="5.16"/>
    <n v="5.16"/>
    <n v="7"/>
    <x v="0"/>
    <n v="0"/>
    <n v="0"/>
    <n v="19"/>
    <n v="57"/>
    <n v="0"/>
    <n v="83.46"/>
    <n v="84.82"/>
    <m/>
    <n v="121.42333418640717"/>
    <n v="66.852629922104782"/>
    <n v="0"/>
    <n v="430.65359999999998"/>
    <n v="437.6712"/>
    <n v="0"/>
    <n v="626.54440440186102"/>
    <n v="344.95957039806069"/>
  </r>
  <r>
    <s v="Regular"/>
    <x v="1"/>
    <x v="1"/>
    <x v="2"/>
    <x v="2"/>
    <x v="0"/>
    <x v="0"/>
    <x v="1"/>
    <x v="2"/>
    <n v="0"/>
    <n v="0"/>
    <n v="5.34"/>
    <n v="5.34"/>
    <n v="5.34"/>
    <n v="5.34"/>
    <n v="9"/>
    <x v="0"/>
    <n v="0"/>
    <n v="0"/>
    <n v="19"/>
    <n v="57"/>
    <n v="0"/>
    <n v="83.46"/>
    <n v="84.82"/>
    <m/>
    <n v="121.42333418640717"/>
    <n v="66.852629922104782"/>
    <n v="0"/>
    <n v="445.67639999999994"/>
    <n v="452.93879999999996"/>
    <n v="0"/>
    <n v="648.40060455541425"/>
    <n v="356.99304378403951"/>
  </r>
  <r>
    <s v="Regular"/>
    <x v="1"/>
    <x v="1"/>
    <x v="2"/>
    <x v="2"/>
    <x v="0"/>
    <x v="0"/>
    <x v="1"/>
    <x v="3"/>
    <n v="0"/>
    <n v="0"/>
    <n v="5.37"/>
    <n v="5.37"/>
    <n v="5.37"/>
    <n v="5.37"/>
    <n v="8"/>
    <x v="0"/>
    <n v="0"/>
    <n v="0"/>
    <n v="19"/>
    <n v="57"/>
    <n v="0"/>
    <n v="83.46"/>
    <n v="84.82"/>
    <m/>
    <n v="121.42333418640717"/>
    <n v="66.852629922104782"/>
    <n v="0"/>
    <n v="448.18019999999996"/>
    <n v="455.48339999999996"/>
    <n v="0"/>
    <n v="652.04330458100651"/>
    <n v="358.99862268170267"/>
  </r>
  <r>
    <s v="Regular"/>
    <x v="1"/>
    <x v="1"/>
    <x v="2"/>
    <x v="2"/>
    <x v="0"/>
    <x v="0"/>
    <x v="1"/>
    <x v="4"/>
    <n v="0"/>
    <n v="0"/>
    <n v="5.52"/>
    <n v="5.52"/>
    <n v="5.52"/>
    <n v="5.52"/>
    <n v="6"/>
    <x v="0"/>
    <n v="0"/>
    <n v="0"/>
    <n v="19"/>
    <n v="57"/>
    <n v="0"/>
    <n v="83.46"/>
    <n v="84.82"/>
    <m/>
    <n v="121.42333418640717"/>
    <n v="66.852629922104782"/>
    <n v="0"/>
    <n v="460.69919999999991"/>
    <n v="468.20639999999992"/>
    <n v="0"/>
    <n v="670.25680470896759"/>
    <n v="369.02651717001839"/>
  </r>
  <r>
    <s v="Regular"/>
    <x v="1"/>
    <x v="1"/>
    <x v="2"/>
    <x v="2"/>
    <x v="0"/>
    <x v="0"/>
    <x v="1"/>
    <x v="5"/>
    <n v="0"/>
    <n v="0"/>
    <n v="5.76"/>
    <n v="5.76"/>
    <n v="5.76"/>
    <n v="5.76"/>
    <n v="9"/>
    <x v="0"/>
    <n v="0"/>
    <n v="0"/>
    <n v="19"/>
    <n v="57"/>
    <n v="0"/>
    <n v="83.46"/>
    <n v="84.82"/>
    <m/>
    <n v="121.42333418640717"/>
    <n v="66.852629922104782"/>
    <n v="0"/>
    <n v="480.72959999999995"/>
    <n v="488.56319999999994"/>
    <n v="0"/>
    <n v="699.39840491370535"/>
    <n v="385.07114835132353"/>
  </r>
  <r>
    <s v="Regular"/>
    <x v="1"/>
    <x v="1"/>
    <x v="2"/>
    <x v="2"/>
    <x v="0"/>
    <x v="0"/>
    <x v="1"/>
    <x v="6"/>
    <n v="0"/>
    <n v="0"/>
    <n v="7.2"/>
    <n v="7.2"/>
    <n v="7.2"/>
    <n v="7.2"/>
    <n v="12"/>
    <x v="0"/>
    <n v="0"/>
    <n v="0"/>
    <n v="19"/>
    <n v="57"/>
    <n v="0"/>
    <n v="83.46"/>
    <n v="84.82"/>
    <m/>
    <n v="121.42333418640717"/>
    <n v="66.852629922104782"/>
    <n v="0"/>
    <n v="600.91199999999992"/>
    <n v="610.70399999999995"/>
    <n v="0"/>
    <n v="874.24800614213166"/>
    <n v="481.33893543915445"/>
  </r>
  <r>
    <s v="Regular"/>
    <x v="1"/>
    <x v="1"/>
    <x v="2"/>
    <x v="2"/>
    <x v="0"/>
    <x v="0"/>
    <x v="1"/>
    <x v="7"/>
    <n v="0"/>
    <n v="0"/>
    <n v="7.5"/>
    <n v="7.5"/>
    <n v="7.5"/>
    <n v="7.5"/>
    <n v="11"/>
    <x v="0"/>
    <n v="0"/>
    <n v="0"/>
    <n v="19"/>
    <n v="57"/>
    <n v="0"/>
    <n v="83.46"/>
    <n v="84.82"/>
    <m/>
    <n v="121.42333418640717"/>
    <n v="66.852629922104782"/>
    <n v="0"/>
    <n v="625.94999999999993"/>
    <n v="636.15"/>
    <n v="0"/>
    <n v="910.67500639805382"/>
    <n v="501.39472441578584"/>
  </r>
  <r>
    <s v="Regular"/>
    <x v="1"/>
    <x v="1"/>
    <x v="2"/>
    <x v="2"/>
    <x v="0"/>
    <x v="0"/>
    <x v="1"/>
    <x v="8"/>
    <n v="0"/>
    <n v="0"/>
    <n v="8.2799999999999994"/>
    <n v="8.2799999999999994"/>
    <n v="8.2799999999999994"/>
    <n v="8.2799999999999994"/>
    <n v="13"/>
    <x v="0"/>
    <n v="0"/>
    <n v="0"/>
    <n v="19"/>
    <n v="57"/>
    <n v="0"/>
    <n v="83.46"/>
    <n v="84.82"/>
    <m/>
    <n v="121.42333418640717"/>
    <n v="66.852629922104782"/>
    <n v="0"/>
    <n v="691.04879999999991"/>
    <n v="702.30959999999993"/>
    <n v="0"/>
    <n v="1005.3852070634513"/>
    <n v="553.53977575502756"/>
  </r>
  <r>
    <s v="Regular"/>
    <x v="1"/>
    <x v="1"/>
    <x v="2"/>
    <x v="2"/>
    <x v="0"/>
    <x v="0"/>
    <x v="1"/>
    <x v="9"/>
    <n v="0"/>
    <n v="0"/>
    <n v="7.7990000000000004"/>
    <n v="7.7990000000000004"/>
    <n v="7.7990000000000004"/>
    <n v="7.7990000000000004"/>
    <n v="12"/>
    <x v="0"/>
    <n v="0"/>
    <n v="0"/>
    <n v="19"/>
    <n v="57"/>
    <n v="0"/>
    <n v="83.46"/>
    <n v="84.82"/>
    <m/>
    <n v="121.42333418640717"/>
    <n v="66.852629922104782"/>
    <n v="0"/>
    <n v="650.90454"/>
    <n v="661.51117999999997"/>
    <n v="0"/>
    <n v="946.98058331978962"/>
    <n v="521.3836607624952"/>
  </r>
  <r>
    <s v="Regular"/>
    <x v="1"/>
    <x v="1"/>
    <x v="2"/>
    <x v="2"/>
    <x v="0"/>
    <x v="0"/>
    <x v="1"/>
    <x v="10"/>
    <n v="0"/>
    <n v="0"/>
    <n v="7.86"/>
    <n v="7.86"/>
    <n v="7.86"/>
    <n v="7.86"/>
    <n v="14"/>
    <x v="0"/>
    <n v="0"/>
    <n v="0"/>
    <n v="19"/>
    <n v="57"/>
    <n v="0"/>
    <n v="83.46"/>
    <n v="84.82"/>
    <m/>
    <n v="121.42333418640717"/>
    <n v="66.852629922104782"/>
    <n v="0"/>
    <n v="655.99559999999997"/>
    <n v="666.68520000000001"/>
    <n v="0"/>
    <n v="954.3874067051604"/>
    <n v="525.4616711877436"/>
  </r>
  <r>
    <s v="PROJETADO"/>
    <x v="1"/>
    <x v="1"/>
    <x v="2"/>
    <x v="2"/>
    <x v="0"/>
    <x v="0"/>
    <x v="1"/>
    <x v="11"/>
    <n v="0"/>
    <n v="0"/>
    <n v="7.86"/>
    <n v="7.86"/>
    <n v="7.86"/>
    <n v="7.86"/>
    <n v="14"/>
    <x v="0"/>
    <n v="0"/>
    <n v="0"/>
    <n v="19"/>
    <n v="57"/>
    <n v="0"/>
    <n v="83.46"/>
    <n v="84.82"/>
    <m/>
    <n v="121.42333418640717"/>
    <n v="66.852629922104782"/>
    <n v="0"/>
    <n v="655.99559999999997"/>
    <n v="666.68520000000001"/>
    <n v="0"/>
    <n v="954.3874067051604"/>
    <n v="525.4616711877436"/>
  </r>
  <r>
    <s v="Regular"/>
    <x v="1"/>
    <x v="1"/>
    <x v="2"/>
    <x v="3"/>
    <x v="0"/>
    <x v="0"/>
    <x v="1"/>
    <x v="0"/>
    <n v="0"/>
    <n v="0"/>
    <n v="10.137"/>
    <n v="10.137"/>
    <n v="10.137"/>
    <n v="10.137"/>
    <n v="36"/>
    <x v="0"/>
    <n v="0"/>
    <n v="0"/>
    <n v="20"/>
    <n v="58"/>
    <n v="0"/>
    <n v="143.07"/>
    <n v="145.41"/>
    <m/>
    <n v="208.15428717669803"/>
    <n v="114.60450843789393"/>
    <n v="0"/>
    <n v="1450.3005900000001"/>
    <n v="1474.02117"/>
    <n v="0"/>
    <n v="2110.0600091101883"/>
    <n v="1161.7459020349309"/>
  </r>
  <r>
    <s v="Refaturamento - Regular"/>
    <x v="1"/>
    <x v="1"/>
    <x v="2"/>
    <x v="3"/>
    <x v="0"/>
    <x v="0"/>
    <x v="1"/>
    <x v="0"/>
    <n v="0"/>
    <n v="0"/>
    <n v="-0.14000000000000001"/>
    <n v="-0.14000000000000001"/>
    <n v="-0.14000000000000001"/>
    <n v="-0.14000000000000001"/>
    <n v="0"/>
    <x v="0"/>
    <n v="0"/>
    <n v="0"/>
    <n v="20"/>
    <n v="58"/>
    <n v="0"/>
    <n v="143.07"/>
    <n v="145.41"/>
    <m/>
    <n v="208.15428717669803"/>
    <n v="114.60450843789393"/>
    <n v="0"/>
    <n v="-20.029800000000002"/>
    <n v="-20.357400000000002"/>
    <n v="0"/>
    <n v="-29.141600204737728"/>
    <n v="-16.044631181305153"/>
  </r>
  <r>
    <s v="Regular"/>
    <x v="1"/>
    <x v="1"/>
    <x v="2"/>
    <x v="3"/>
    <x v="0"/>
    <x v="0"/>
    <x v="1"/>
    <x v="1"/>
    <n v="0"/>
    <n v="0"/>
    <n v="10.64"/>
    <n v="10.64"/>
    <n v="10.64"/>
    <n v="10.64"/>
    <n v="34"/>
    <x v="0"/>
    <n v="0"/>
    <n v="0"/>
    <n v="20"/>
    <n v="58"/>
    <n v="0"/>
    <n v="143.07"/>
    <n v="145.41"/>
    <m/>
    <n v="208.15428717669803"/>
    <n v="114.60450843789393"/>
    <n v="0"/>
    <n v="1522.2647999999999"/>
    <n v="1547.1623999999999"/>
    <n v="0"/>
    <n v="2214.7616155600672"/>
    <n v="1219.3919697791914"/>
  </r>
  <r>
    <s v="Regular"/>
    <x v="1"/>
    <x v="1"/>
    <x v="2"/>
    <x v="3"/>
    <x v="0"/>
    <x v="0"/>
    <x v="1"/>
    <x v="2"/>
    <n v="0"/>
    <n v="0"/>
    <n v="10.894"/>
    <n v="10.894"/>
    <n v="10.894"/>
    <n v="10.894"/>
    <n v="40"/>
    <x v="0"/>
    <n v="0"/>
    <n v="0"/>
    <n v="20"/>
    <n v="58"/>
    <n v="0"/>
    <n v="143.07"/>
    <n v="145.41"/>
    <m/>
    <n v="208.15428717669803"/>
    <n v="114.60450843789393"/>
    <n v="0"/>
    <n v="1558.6045799999999"/>
    <n v="1584.09654"/>
    <n v="0"/>
    <n v="2267.6328045029486"/>
    <n v="1248.5015149224164"/>
  </r>
  <r>
    <s v="Regular"/>
    <x v="1"/>
    <x v="1"/>
    <x v="2"/>
    <x v="3"/>
    <x v="0"/>
    <x v="0"/>
    <x v="1"/>
    <x v="3"/>
    <n v="0"/>
    <n v="0"/>
    <n v="11.026"/>
    <n v="11.026"/>
    <n v="11.026"/>
    <n v="11.026"/>
    <n v="37"/>
    <x v="0"/>
    <n v="0"/>
    <n v="0"/>
    <n v="20"/>
    <n v="58"/>
    <n v="0"/>
    <n v="143.07"/>
    <n v="145.41"/>
    <m/>
    <n v="208.15428717669803"/>
    <n v="114.60450843789393"/>
    <n v="0"/>
    <n v="1577.48982"/>
    <n v="1603.2906599999999"/>
    <n v="0"/>
    <n v="2295.1091704102723"/>
    <n v="1263.6293100362184"/>
  </r>
  <r>
    <s v="Regular"/>
    <x v="1"/>
    <x v="1"/>
    <x v="2"/>
    <x v="3"/>
    <x v="0"/>
    <x v="0"/>
    <x v="1"/>
    <x v="4"/>
    <n v="0"/>
    <n v="0"/>
    <n v="11.669"/>
    <n v="11.669"/>
    <n v="11.669"/>
    <n v="11.669"/>
    <n v="37"/>
    <x v="0"/>
    <n v="0"/>
    <n v="0"/>
    <n v="20"/>
    <n v="58"/>
    <n v="0"/>
    <n v="143.07"/>
    <n v="145.41"/>
    <m/>
    <n v="208.15428717669803"/>
    <n v="114.60450843789393"/>
    <n v="0"/>
    <n v="1669.4838299999999"/>
    <n v="1696.7892899999999"/>
    <n v="0"/>
    <n v="2428.9523770648893"/>
    <n v="1337.3200089617842"/>
  </r>
  <r>
    <s v="Regular"/>
    <x v="1"/>
    <x v="1"/>
    <x v="2"/>
    <x v="3"/>
    <x v="0"/>
    <x v="0"/>
    <x v="1"/>
    <x v="5"/>
    <n v="0"/>
    <n v="0"/>
    <n v="12.263"/>
    <n v="12.263"/>
    <n v="12.263"/>
    <n v="12.263"/>
    <n v="22"/>
    <x v="0"/>
    <n v="0"/>
    <n v="0"/>
    <n v="20"/>
    <n v="58"/>
    <n v="0"/>
    <n v="143.07"/>
    <n v="145.41"/>
    <m/>
    <n v="208.15428717669803"/>
    <n v="114.60450843789393"/>
    <n v="0"/>
    <n v="1754.46741"/>
    <n v="1783.16283"/>
    <n v="0"/>
    <n v="2552.5960236478481"/>
    <n v="1405.3950869738933"/>
  </r>
  <r>
    <s v="Regular"/>
    <x v="1"/>
    <x v="1"/>
    <x v="2"/>
    <x v="3"/>
    <x v="0"/>
    <x v="0"/>
    <x v="1"/>
    <x v="6"/>
    <n v="0"/>
    <n v="0"/>
    <n v="14.694000000000001"/>
    <n v="14.694000000000001"/>
    <n v="14.694000000000001"/>
    <n v="14.694000000000001"/>
    <n v="44"/>
    <x v="0"/>
    <n v="0"/>
    <n v="0"/>
    <n v="20"/>
    <n v="58"/>
    <n v="0"/>
    <n v="143.07"/>
    <n v="145.41"/>
    <m/>
    <n v="208.15428717669803"/>
    <n v="114.60450843789393"/>
    <n v="0"/>
    <n v="2102.2705799999999"/>
    <n v="2136.65454"/>
    <n v="0"/>
    <n v="3058.6190957744011"/>
    <n v="1683.9986469864134"/>
  </r>
  <r>
    <s v="Refaturamento - Regular"/>
    <x v="1"/>
    <x v="1"/>
    <x v="2"/>
    <x v="3"/>
    <x v="0"/>
    <x v="0"/>
    <x v="1"/>
    <x v="6"/>
    <n v="0"/>
    <n v="0"/>
    <n v="-5.0000000000000001E-3"/>
    <n v="-5.0000000000000001E-3"/>
    <n v="-5.0000000000000001E-3"/>
    <n v="-5.0000000000000001E-3"/>
    <n v="0"/>
    <x v="0"/>
    <n v="0"/>
    <n v="0"/>
    <n v="20"/>
    <n v="58"/>
    <n v="0"/>
    <n v="143.07"/>
    <n v="145.41"/>
    <m/>
    <n v="208.15428717669803"/>
    <n v="114.60450843789393"/>
    <n v="0"/>
    <n v="-0.71534999999999993"/>
    <n v="-0.72704999999999997"/>
    <n v="0"/>
    <n v="-1.0407714358834901"/>
    <n v="-0.57302254218946969"/>
  </r>
  <r>
    <s v="Regular"/>
    <x v="1"/>
    <x v="1"/>
    <x v="2"/>
    <x v="3"/>
    <x v="0"/>
    <x v="0"/>
    <x v="1"/>
    <x v="7"/>
    <n v="0"/>
    <n v="0"/>
    <n v="15.435"/>
    <n v="15.435"/>
    <n v="15.435"/>
    <n v="15.435"/>
    <n v="48"/>
    <x v="0"/>
    <n v="0"/>
    <n v="0"/>
    <n v="20"/>
    <n v="58"/>
    <n v="0"/>
    <n v="143.07"/>
    <n v="145.41"/>
    <m/>
    <n v="208.15428717669803"/>
    <n v="114.60450843789393"/>
    <n v="0"/>
    <n v="2208.2854499999999"/>
    <n v="2244.40335"/>
    <n v="0"/>
    <n v="3212.861422572334"/>
    <n v="1768.9205877388929"/>
  </r>
  <r>
    <s v="Regular"/>
    <x v="1"/>
    <x v="1"/>
    <x v="2"/>
    <x v="3"/>
    <x v="0"/>
    <x v="0"/>
    <x v="1"/>
    <x v="8"/>
    <n v="0"/>
    <n v="0"/>
    <n v="16.388000000000002"/>
    <n v="16.388000000000002"/>
    <n v="16.388000000000002"/>
    <n v="16.388000000000002"/>
    <n v="74"/>
    <x v="0"/>
    <n v="0"/>
    <n v="0"/>
    <n v="20"/>
    <n v="58"/>
    <n v="0"/>
    <n v="143.07"/>
    <n v="145.41"/>
    <m/>
    <n v="208.15428717669803"/>
    <n v="114.60450843789393"/>
    <n v="0"/>
    <n v="2344.6311599999999"/>
    <n v="2382.9790800000001"/>
    <n v="0"/>
    <n v="3411.2324582517276"/>
    <n v="1878.1386842802058"/>
  </r>
  <r>
    <s v="Regular"/>
    <x v="1"/>
    <x v="1"/>
    <x v="2"/>
    <x v="3"/>
    <x v="0"/>
    <x v="0"/>
    <x v="1"/>
    <x v="9"/>
    <n v="0"/>
    <n v="0"/>
    <n v="15.46"/>
    <n v="15.46"/>
    <n v="15.46"/>
    <n v="15.46"/>
    <n v="60"/>
    <x v="0"/>
    <n v="0"/>
    <n v="0"/>
    <n v="20"/>
    <n v="58"/>
    <n v="0"/>
    <n v="143.07"/>
    <n v="145.41"/>
    <m/>
    <n v="208.15428717669803"/>
    <n v="114.60450843789393"/>
    <n v="0"/>
    <n v="2211.8622"/>
    <n v="2248.0385999999999"/>
    <n v="0"/>
    <n v="3218.0652797517519"/>
    <n v="1771.7857004498403"/>
  </r>
  <r>
    <s v="Regular"/>
    <x v="1"/>
    <x v="1"/>
    <x v="2"/>
    <x v="3"/>
    <x v="0"/>
    <x v="0"/>
    <x v="1"/>
    <x v="10"/>
    <n v="0"/>
    <n v="0"/>
    <n v="15.704000000000001"/>
    <n v="15.704000000000001"/>
    <n v="15.704000000000001"/>
    <n v="15.704000000000001"/>
    <n v="59"/>
    <x v="0"/>
    <n v="0"/>
    <n v="0"/>
    <n v="20"/>
    <n v="58"/>
    <n v="0"/>
    <n v="143.07"/>
    <n v="145.41"/>
    <m/>
    <n v="208.15428717669803"/>
    <n v="114.60450843789393"/>
    <n v="0"/>
    <n v="2246.7712799999999"/>
    <n v="2283.5186400000002"/>
    <n v="0"/>
    <n v="3268.8549258228659"/>
    <n v="1799.7492005086863"/>
  </r>
  <r>
    <s v="PROJETADO"/>
    <x v="1"/>
    <x v="1"/>
    <x v="2"/>
    <x v="3"/>
    <x v="0"/>
    <x v="0"/>
    <x v="1"/>
    <x v="11"/>
    <n v="0"/>
    <n v="0"/>
    <n v="15.704000000000001"/>
    <n v="15.704000000000001"/>
    <n v="15.704000000000001"/>
    <n v="15.704000000000001"/>
    <n v="59"/>
    <x v="0"/>
    <n v="0"/>
    <n v="0"/>
    <n v="20"/>
    <n v="58"/>
    <n v="0"/>
    <n v="143.07"/>
    <n v="145.41"/>
    <m/>
    <n v="208.15428717669803"/>
    <n v="114.60450843789393"/>
    <n v="0"/>
    <n v="2246.7712799999999"/>
    <n v="2283.5186400000002"/>
    <n v="0"/>
    <n v="3268.8549258228659"/>
    <n v="1799.7492005086863"/>
  </r>
  <r>
    <s v="Regular"/>
    <x v="1"/>
    <x v="1"/>
    <x v="2"/>
    <x v="4"/>
    <x v="0"/>
    <x v="0"/>
    <x v="1"/>
    <x v="0"/>
    <n v="0"/>
    <n v="0"/>
    <n v="8.66"/>
    <n v="8.66"/>
    <n v="8.66"/>
    <n v="8.66"/>
    <n v="94"/>
    <x v="0"/>
    <n v="0"/>
    <n v="0"/>
    <n v="21"/>
    <n v="59"/>
    <n v="0"/>
    <n v="214.6"/>
    <n v="218.11"/>
    <m/>
    <n v="312.23143076504704"/>
    <n v="171.9067626568409"/>
    <n v="0"/>
    <n v="1858.4359999999999"/>
    <n v="1888.8326000000002"/>
    <n v="0"/>
    <n v="2703.9241904253072"/>
    <n v="1488.7125646082422"/>
  </r>
  <r>
    <s v="Refaturamento - Regular"/>
    <x v="1"/>
    <x v="1"/>
    <x v="2"/>
    <x v="4"/>
    <x v="0"/>
    <x v="0"/>
    <x v="1"/>
    <x v="0"/>
    <n v="0"/>
    <n v="0"/>
    <n v="-0.22600000000000001"/>
    <n v="-0.22600000000000001"/>
    <n v="-0.22600000000000001"/>
    <n v="-0.22600000000000001"/>
    <n v="0"/>
    <x v="0"/>
    <n v="0"/>
    <n v="0"/>
    <n v="21"/>
    <n v="59"/>
    <n v="0"/>
    <n v="214.6"/>
    <n v="218.11"/>
    <m/>
    <n v="312.23143076504704"/>
    <n v="171.9067626568409"/>
    <n v="0"/>
    <n v="-48.499600000000001"/>
    <n v="-49.292860000000005"/>
    <n v="0"/>
    <n v="-70.564303352900637"/>
    <n v="-38.850928360446041"/>
  </r>
  <r>
    <s v="Regular"/>
    <x v="1"/>
    <x v="1"/>
    <x v="2"/>
    <x v="4"/>
    <x v="0"/>
    <x v="0"/>
    <x v="1"/>
    <x v="1"/>
    <n v="0"/>
    <n v="0"/>
    <n v="9.8420000000000005"/>
    <n v="9.8420000000000005"/>
    <n v="9.8420000000000005"/>
    <n v="9.8420000000000005"/>
    <n v="91"/>
    <x v="0"/>
    <n v="0"/>
    <n v="0"/>
    <n v="21"/>
    <n v="59"/>
    <n v="0"/>
    <n v="214.6"/>
    <n v="218.11"/>
    <m/>
    <n v="312.23143076504704"/>
    <n v="171.9067626568409"/>
    <n v="0"/>
    <n v="2112.0932000000003"/>
    <n v="2146.6386200000002"/>
    <n v="0"/>
    <n v="3072.9817415895932"/>
    <n v="1691.9063580686282"/>
  </r>
  <r>
    <s v="Regular"/>
    <x v="1"/>
    <x v="1"/>
    <x v="2"/>
    <x v="4"/>
    <x v="0"/>
    <x v="0"/>
    <x v="1"/>
    <x v="2"/>
    <n v="0"/>
    <n v="0"/>
    <n v="9.7710000000000008"/>
    <n v="9.7710000000000008"/>
    <n v="9.7710000000000008"/>
    <n v="9.7710000000000008"/>
    <n v="93"/>
    <x v="0"/>
    <n v="0"/>
    <n v="0"/>
    <n v="21"/>
    <n v="59"/>
    <n v="0"/>
    <n v="214.6"/>
    <n v="218.11"/>
    <m/>
    <n v="312.23143076504704"/>
    <n v="171.9067626568409"/>
    <n v="0"/>
    <n v="2096.8566000000001"/>
    <n v="2131.1528100000005"/>
    <n v="0"/>
    <n v="3050.8133100052751"/>
    <n v="1679.7009779199925"/>
  </r>
  <r>
    <s v="Regular"/>
    <x v="1"/>
    <x v="1"/>
    <x v="2"/>
    <x v="4"/>
    <x v="0"/>
    <x v="0"/>
    <x v="1"/>
    <x v="3"/>
    <n v="0"/>
    <n v="0"/>
    <n v="10.201000000000001"/>
    <n v="10.201000000000001"/>
    <n v="10.201000000000001"/>
    <n v="10.201000000000001"/>
    <n v="100"/>
    <x v="0"/>
    <n v="0"/>
    <n v="0"/>
    <n v="21"/>
    <n v="59"/>
    <n v="0"/>
    <n v="214.6"/>
    <n v="218.11"/>
    <m/>
    <n v="312.23143076504704"/>
    <n v="171.9067626568409"/>
    <n v="0"/>
    <n v="2189.1345999999999"/>
    <n v="2224.9401100000005"/>
    <n v="0"/>
    <n v="3185.0728252342451"/>
    <n v="1753.6208858624341"/>
  </r>
  <r>
    <s v="Regular"/>
    <x v="1"/>
    <x v="1"/>
    <x v="2"/>
    <x v="4"/>
    <x v="0"/>
    <x v="0"/>
    <x v="1"/>
    <x v="4"/>
    <n v="0"/>
    <n v="0"/>
    <n v="11.513999999999999"/>
    <n v="11.513999999999999"/>
    <n v="11.513999999999999"/>
    <n v="11.513999999999999"/>
    <n v="88"/>
    <x v="0"/>
    <n v="0"/>
    <n v="0"/>
    <n v="21"/>
    <n v="59"/>
    <n v="0"/>
    <n v="214.6"/>
    <n v="218.11"/>
    <m/>
    <n v="312.23143076504704"/>
    <n v="171.9067626568409"/>
    <n v="0"/>
    <n v="2470.9043999999999"/>
    <n v="2511.3185400000002"/>
    <n v="0"/>
    <n v="3595.0326938287512"/>
    <n v="1979.334465230866"/>
  </r>
  <r>
    <s v="Regular"/>
    <x v="1"/>
    <x v="1"/>
    <x v="2"/>
    <x v="4"/>
    <x v="0"/>
    <x v="0"/>
    <x v="1"/>
    <x v="5"/>
    <n v="0"/>
    <n v="0"/>
    <n v="14.289"/>
    <n v="14.289"/>
    <n v="14.289"/>
    <n v="14.289"/>
    <n v="85"/>
    <x v="0"/>
    <n v="0"/>
    <n v="0"/>
    <n v="21"/>
    <n v="59"/>
    <n v="0"/>
    <n v="214.6"/>
    <n v="218.11"/>
    <m/>
    <n v="312.23143076504704"/>
    <n v="171.9067626568409"/>
    <n v="0"/>
    <n v="3066.4193999999998"/>
    <n v="3116.5737899999999"/>
    <n v="0"/>
    <n v="4461.4749142017572"/>
    <n v="2456.3757316035994"/>
  </r>
  <r>
    <s v="Regular"/>
    <x v="1"/>
    <x v="1"/>
    <x v="2"/>
    <x v="4"/>
    <x v="0"/>
    <x v="0"/>
    <x v="1"/>
    <x v="6"/>
    <n v="0"/>
    <n v="0"/>
    <n v="14.22"/>
    <n v="14.22"/>
    <n v="14.22"/>
    <n v="14.22"/>
    <n v="118"/>
    <x v="0"/>
    <n v="0"/>
    <n v="0"/>
    <n v="21"/>
    <n v="59"/>
    <n v="0"/>
    <n v="214.6"/>
    <n v="218.11"/>
    <m/>
    <n v="312.23143076504704"/>
    <n v="171.9067626568409"/>
    <n v="0"/>
    <n v="3051.6120000000001"/>
    <n v="3101.5242000000003"/>
    <n v="0"/>
    <n v="4439.9309454789691"/>
    <n v="2444.5141649802777"/>
  </r>
  <r>
    <s v="Refaturamento - Regular"/>
    <x v="1"/>
    <x v="1"/>
    <x v="2"/>
    <x v="4"/>
    <x v="0"/>
    <x v="0"/>
    <x v="1"/>
    <x v="6"/>
    <n v="0"/>
    <n v="0"/>
    <n v="-0.14499999999999999"/>
    <n v="-0.14499999999999999"/>
    <n v="-0.14499999999999999"/>
    <n v="-0.14499999999999999"/>
    <n v="0"/>
    <x v="0"/>
    <n v="0"/>
    <n v="0"/>
    <n v="21"/>
    <n v="59"/>
    <n v="0"/>
    <n v="214.6"/>
    <n v="218.11"/>
    <m/>
    <n v="312.23143076504704"/>
    <n v="171.9067626568409"/>
    <n v="0"/>
    <n v="-31.116999999999997"/>
    <n v="-31.62595"/>
    <n v="0"/>
    <n v="-45.273557460931819"/>
    <n v="-24.926480585241929"/>
  </r>
  <r>
    <s v="Regular"/>
    <x v="1"/>
    <x v="1"/>
    <x v="2"/>
    <x v="4"/>
    <x v="0"/>
    <x v="0"/>
    <x v="1"/>
    <x v="7"/>
    <n v="0"/>
    <n v="0"/>
    <n v="14.488"/>
    <n v="14.488"/>
    <n v="14.488"/>
    <n v="14.488"/>
    <n v="134"/>
    <x v="0"/>
    <n v="0"/>
    <n v="0"/>
    <n v="21"/>
    <n v="59"/>
    <n v="0"/>
    <n v="214.6"/>
    <n v="218.11"/>
    <m/>
    <n v="312.23143076504704"/>
    <n v="171.9067626568409"/>
    <n v="0"/>
    <n v="3109.1247999999996"/>
    <n v="3159.97768"/>
    <n v="0"/>
    <n v="4523.6089689240016"/>
    <n v="2490.5851773723107"/>
  </r>
  <r>
    <s v="Regular"/>
    <x v="1"/>
    <x v="1"/>
    <x v="2"/>
    <x v="4"/>
    <x v="0"/>
    <x v="0"/>
    <x v="1"/>
    <x v="8"/>
    <n v="0"/>
    <n v="0"/>
    <n v="12.88"/>
    <n v="12.88"/>
    <n v="12.88"/>
    <n v="12.88"/>
    <n v="152"/>
    <x v="0"/>
    <n v="0"/>
    <n v="0"/>
    <n v="21"/>
    <n v="59"/>
    <n v="0"/>
    <n v="214.6"/>
    <n v="218.11"/>
    <m/>
    <n v="312.23143076504704"/>
    <n v="171.9067626568409"/>
    <n v="0"/>
    <n v="2764.0480000000002"/>
    <n v="2809.2568000000006"/>
    <n v="0"/>
    <n v="4021.540828253806"/>
    <n v="2214.1591030201107"/>
  </r>
  <r>
    <s v="Regular"/>
    <x v="1"/>
    <x v="1"/>
    <x v="2"/>
    <x v="4"/>
    <x v="0"/>
    <x v="0"/>
    <x v="1"/>
    <x v="9"/>
    <n v="0"/>
    <n v="0"/>
    <n v="14.611000000000001"/>
    <n v="14.611000000000001"/>
    <n v="14.611000000000001"/>
    <n v="14.611000000000001"/>
    <n v="123"/>
    <x v="0"/>
    <n v="0"/>
    <n v="0"/>
    <n v="21"/>
    <n v="59"/>
    <n v="0"/>
    <n v="214.6"/>
    <n v="218.11"/>
    <m/>
    <n v="312.23143076504704"/>
    <n v="171.9067626568409"/>
    <n v="0"/>
    <n v="3135.5205999999998"/>
    <n v="3186.8052100000004"/>
    <n v="0"/>
    <n v="4562.0134349081027"/>
    <n v="2511.7297091791024"/>
  </r>
  <r>
    <s v="Regular"/>
    <x v="1"/>
    <x v="1"/>
    <x v="2"/>
    <x v="4"/>
    <x v="0"/>
    <x v="0"/>
    <x v="1"/>
    <x v="10"/>
    <n v="0"/>
    <n v="0"/>
    <n v="14.917"/>
    <n v="14.917"/>
    <n v="14.917"/>
    <n v="14.917"/>
    <n v="124"/>
    <x v="0"/>
    <n v="0"/>
    <n v="0"/>
    <n v="21"/>
    <n v="59"/>
    <n v="0"/>
    <n v="214.6"/>
    <n v="218.11"/>
    <m/>
    <n v="312.23143076504704"/>
    <n v="171.9067626568409"/>
    <n v="0"/>
    <n v="3201.1882000000001"/>
    <n v="3253.5468700000001"/>
    <n v="0"/>
    <n v="4657.5562527222064"/>
    <n v="2564.3331785520954"/>
  </r>
  <r>
    <s v="PROJETADO"/>
    <x v="1"/>
    <x v="1"/>
    <x v="2"/>
    <x v="4"/>
    <x v="0"/>
    <x v="0"/>
    <x v="1"/>
    <x v="11"/>
    <n v="0"/>
    <n v="0"/>
    <n v="14.917"/>
    <n v="14.917"/>
    <n v="14.917"/>
    <n v="14.917"/>
    <n v="124"/>
    <x v="0"/>
    <n v="0"/>
    <n v="0"/>
    <n v="21"/>
    <n v="59"/>
    <n v="0"/>
    <n v="214.6"/>
    <n v="218.11"/>
    <m/>
    <n v="312.23143076504704"/>
    <n v="171.9067626568409"/>
    <n v="0"/>
    <n v="3201.1882000000001"/>
    <n v="3253.5468700000001"/>
    <n v="0"/>
    <n v="4657.5562527222064"/>
    <n v="2564.3331785520954"/>
  </r>
  <r>
    <s v="Regular"/>
    <x v="1"/>
    <x v="1"/>
    <x v="2"/>
    <x v="5"/>
    <x v="0"/>
    <x v="0"/>
    <x v="1"/>
    <x v="0"/>
    <n v="0"/>
    <n v="0"/>
    <n v="1.9179999999999999"/>
    <n v="1.9179999999999999"/>
    <n v="1.9179999999999999"/>
    <n v="1.9179999999999999"/>
    <n v="30"/>
    <x v="0"/>
    <n v="0"/>
    <n v="0"/>
    <n v="22"/>
    <n v="60"/>
    <n v="0"/>
    <n v="238.45"/>
    <n v="242.35"/>
    <m/>
    <n v="346.92381196116338"/>
    <n v="191.00751406315655"/>
    <n v="0"/>
    <n v="457.34709999999995"/>
    <n v="464.82729999999998"/>
    <n v="0"/>
    <n v="665.39987134151136"/>
    <n v="366.35241197313422"/>
  </r>
  <r>
    <s v="Refaturamento - Regular"/>
    <x v="1"/>
    <x v="1"/>
    <x v="2"/>
    <x v="5"/>
    <x v="0"/>
    <x v="0"/>
    <x v="1"/>
    <x v="0"/>
    <n v="0"/>
    <n v="0"/>
    <n v="-8.9999999999999993E-3"/>
    <n v="-8.9999999999999993E-3"/>
    <n v="-8.9999999999999993E-3"/>
    <n v="-8.9999999999999993E-3"/>
    <n v="0"/>
    <x v="0"/>
    <n v="0"/>
    <n v="0"/>
    <n v="22"/>
    <n v="60"/>
    <n v="0"/>
    <n v="238.45"/>
    <n v="242.35"/>
    <m/>
    <n v="346.92381196116338"/>
    <n v="191.00751406315655"/>
    <n v="0"/>
    <n v="-2.1460499999999998"/>
    <n v="-2.1811499999999997"/>
    <n v="0"/>
    <n v="-3.1223143076504702"/>
    <n v="-1.7190676265684088"/>
  </r>
  <r>
    <s v="Regular"/>
    <x v="1"/>
    <x v="1"/>
    <x v="2"/>
    <x v="5"/>
    <x v="0"/>
    <x v="0"/>
    <x v="1"/>
    <x v="1"/>
    <n v="0"/>
    <n v="0"/>
    <n v="3.2509999999999999"/>
    <n v="3.2509999999999999"/>
    <n v="3.2509999999999999"/>
    <n v="3.2509999999999999"/>
    <n v="39"/>
    <x v="0"/>
    <n v="0"/>
    <n v="0"/>
    <n v="22"/>
    <n v="60"/>
    <n v="0"/>
    <n v="238.45"/>
    <n v="242.35"/>
    <m/>
    <n v="346.92381196116338"/>
    <n v="191.00751406315655"/>
    <n v="0"/>
    <n v="775.20094999999992"/>
    <n v="787.87984999999992"/>
    <n v="0"/>
    <n v="1127.849312685742"/>
    <n v="620.96542821932189"/>
  </r>
  <r>
    <s v="Regular"/>
    <x v="1"/>
    <x v="1"/>
    <x v="2"/>
    <x v="5"/>
    <x v="0"/>
    <x v="0"/>
    <x v="1"/>
    <x v="2"/>
    <n v="0"/>
    <n v="0"/>
    <n v="2.9319999999999999"/>
    <n v="2.9319999999999999"/>
    <n v="2.9319999999999999"/>
    <n v="2.9319999999999999"/>
    <n v="36"/>
    <x v="0"/>
    <n v="0"/>
    <n v="0"/>
    <n v="22"/>
    <n v="60"/>
    <n v="0"/>
    <n v="238.45"/>
    <n v="242.35"/>
    <m/>
    <n v="346.92381196116338"/>
    <n v="191.00751406315655"/>
    <n v="0"/>
    <n v="699.1354"/>
    <n v="710.5702"/>
    <n v="0"/>
    <n v="1017.180616670131"/>
    <n v="560.03403123317503"/>
  </r>
  <r>
    <s v="Regular"/>
    <x v="1"/>
    <x v="1"/>
    <x v="2"/>
    <x v="5"/>
    <x v="0"/>
    <x v="0"/>
    <x v="1"/>
    <x v="3"/>
    <n v="0"/>
    <n v="0"/>
    <n v="2.6139999999999999"/>
    <n v="2.6139999999999999"/>
    <n v="2.6139999999999999"/>
    <n v="2.6139999999999999"/>
    <n v="34"/>
    <x v="0"/>
    <n v="0"/>
    <n v="0"/>
    <n v="22"/>
    <n v="60"/>
    <n v="0"/>
    <n v="238.45"/>
    <n v="242.35"/>
    <m/>
    <n v="346.92381196116338"/>
    <n v="191.00751406315655"/>
    <n v="0"/>
    <n v="623.30829999999992"/>
    <n v="633.50289999999995"/>
    <n v="0"/>
    <n v="906.85884446648106"/>
    <n v="499.29364176109118"/>
  </r>
  <r>
    <s v="Regular"/>
    <x v="1"/>
    <x v="1"/>
    <x v="2"/>
    <x v="5"/>
    <x v="0"/>
    <x v="0"/>
    <x v="1"/>
    <x v="4"/>
    <n v="0"/>
    <n v="0"/>
    <n v="4.2629999999999999"/>
    <n v="4.2629999999999999"/>
    <n v="4.2629999999999999"/>
    <n v="4.2629999999999999"/>
    <n v="53"/>
    <x v="0"/>
    <n v="0"/>
    <n v="0"/>
    <n v="22"/>
    <n v="60"/>
    <n v="0"/>
    <n v="238.45"/>
    <n v="242.35"/>
    <m/>
    <n v="346.92381196116338"/>
    <n v="191.00751406315655"/>
    <n v="0"/>
    <n v="1016.51235"/>
    <n v="1033.13805"/>
    <n v="0"/>
    <n v="1478.9362103904396"/>
    <n v="814.26503245123638"/>
  </r>
  <r>
    <s v="Regular"/>
    <x v="1"/>
    <x v="1"/>
    <x v="2"/>
    <x v="5"/>
    <x v="0"/>
    <x v="0"/>
    <x v="1"/>
    <x v="5"/>
    <n v="0"/>
    <n v="0"/>
    <n v="9.2530000000000001"/>
    <n v="9.2530000000000001"/>
    <n v="9.2530000000000001"/>
    <n v="9.2530000000000001"/>
    <n v="76"/>
    <x v="0"/>
    <n v="0"/>
    <n v="0"/>
    <n v="22"/>
    <n v="60"/>
    <n v="0"/>
    <n v="238.45"/>
    <n v="242.35"/>
    <m/>
    <n v="346.92381196116338"/>
    <n v="191.00751406315655"/>
    <n v="0"/>
    <n v="2206.3778499999999"/>
    <n v="2242.4645500000001"/>
    <n v="0"/>
    <n v="3210.0860320766446"/>
    <n v="1767.3925276263876"/>
  </r>
  <r>
    <s v="Regular"/>
    <x v="1"/>
    <x v="1"/>
    <x v="2"/>
    <x v="5"/>
    <x v="0"/>
    <x v="0"/>
    <x v="1"/>
    <x v="6"/>
    <n v="0"/>
    <n v="0"/>
    <n v="5.7759999999999998"/>
    <n v="5.7759999999999998"/>
    <n v="5.7759999999999998"/>
    <n v="5.7759999999999998"/>
    <n v="66"/>
    <x v="0"/>
    <n v="0"/>
    <n v="0"/>
    <n v="22"/>
    <n v="60"/>
    <n v="0"/>
    <n v="238.45"/>
    <n v="242.35"/>
    <m/>
    <n v="346.92381196116338"/>
    <n v="191.00751406315655"/>
    <n v="0"/>
    <n v="1377.2872"/>
    <n v="1399.8136"/>
    <n v="0"/>
    <n v="2003.8319378876797"/>
    <n v="1103.2594012287923"/>
  </r>
  <r>
    <s v="Refaturamento - Regular"/>
    <x v="1"/>
    <x v="1"/>
    <x v="2"/>
    <x v="5"/>
    <x v="0"/>
    <x v="0"/>
    <x v="1"/>
    <x v="6"/>
    <n v="0"/>
    <n v="0"/>
    <n v="-0.21"/>
    <n v="-0.21"/>
    <n v="-0.21"/>
    <n v="-0.21"/>
    <n v="0"/>
    <x v="0"/>
    <n v="0"/>
    <n v="0"/>
    <n v="22"/>
    <n v="60"/>
    <n v="0"/>
    <n v="238.45"/>
    <n v="242.35"/>
    <m/>
    <n v="346.92381196116338"/>
    <n v="191.00751406315655"/>
    <n v="0"/>
    <n v="-50.074499999999993"/>
    <n v="-50.893499999999996"/>
    <n v="0"/>
    <n v="-72.854000511844305"/>
    <n v="-40.111577953262874"/>
  </r>
  <r>
    <s v="Regular"/>
    <x v="1"/>
    <x v="1"/>
    <x v="2"/>
    <x v="5"/>
    <x v="0"/>
    <x v="0"/>
    <x v="1"/>
    <x v="7"/>
    <n v="0"/>
    <n v="0"/>
    <n v="4.3879999999999999"/>
    <n v="4.3879999999999999"/>
    <n v="4.3879999999999999"/>
    <n v="4.3879999999999999"/>
    <n v="57"/>
    <x v="0"/>
    <n v="0"/>
    <n v="0"/>
    <n v="22"/>
    <n v="60"/>
    <n v="0"/>
    <n v="238.45"/>
    <n v="242.35"/>
    <m/>
    <n v="346.92381196116338"/>
    <n v="191.00751406315655"/>
    <n v="0"/>
    <n v="1046.3185999999998"/>
    <n v="1063.4317999999998"/>
    <n v="0"/>
    <n v="1522.3016868855848"/>
    <n v="838.14097170913089"/>
  </r>
  <r>
    <s v="Regular"/>
    <x v="1"/>
    <x v="1"/>
    <x v="2"/>
    <x v="5"/>
    <x v="0"/>
    <x v="0"/>
    <x v="1"/>
    <x v="8"/>
    <n v="0"/>
    <n v="0"/>
    <n v="2.4380000000000002"/>
    <n v="2.4380000000000002"/>
    <n v="2.4380000000000002"/>
    <n v="2.4380000000000002"/>
    <n v="37"/>
    <x v="0"/>
    <n v="0"/>
    <n v="0"/>
    <n v="22"/>
    <n v="60"/>
    <n v="0"/>
    <n v="238.45"/>
    <n v="242.35"/>
    <m/>
    <n v="346.92381196116338"/>
    <n v="191.00751406315655"/>
    <n v="0"/>
    <n v="581.34109999999998"/>
    <n v="590.84929999999997"/>
    <n v="0"/>
    <n v="845.80025356131637"/>
    <n v="465.67631928597569"/>
  </r>
  <r>
    <s v="Regular"/>
    <x v="1"/>
    <x v="1"/>
    <x v="2"/>
    <x v="5"/>
    <x v="0"/>
    <x v="0"/>
    <x v="1"/>
    <x v="9"/>
    <n v="0"/>
    <n v="0"/>
    <n v="3.9569999999999999"/>
    <n v="3.9569999999999999"/>
    <n v="3.9569999999999999"/>
    <n v="3.9569999999999999"/>
    <n v="65"/>
    <x v="0"/>
    <n v="0"/>
    <n v="0"/>
    <n v="22"/>
    <n v="60"/>
    <n v="0"/>
    <n v="238.45"/>
    <n v="242.35"/>
    <m/>
    <n v="346.92381196116338"/>
    <n v="191.00751406315655"/>
    <n v="0"/>
    <n v="943.54664999999989"/>
    <n v="958.97894999999994"/>
    <n v="0"/>
    <n v="1372.7775239303235"/>
    <n v="755.81673314791044"/>
  </r>
  <r>
    <s v="Regular"/>
    <x v="1"/>
    <x v="1"/>
    <x v="2"/>
    <x v="5"/>
    <x v="0"/>
    <x v="0"/>
    <x v="1"/>
    <x v="10"/>
    <n v="0"/>
    <n v="0"/>
    <n v="4.8789999999999996"/>
    <n v="4.8789999999999996"/>
    <n v="4.8789999999999996"/>
    <n v="4.8789999999999996"/>
    <n v="65"/>
    <x v="0"/>
    <n v="0"/>
    <n v="0"/>
    <n v="22"/>
    <n v="60"/>
    <n v="0"/>
    <n v="238.45"/>
    <n v="242.35"/>
    <m/>
    <n v="346.92381196116338"/>
    <n v="191.00751406315655"/>
    <n v="0"/>
    <n v="1163.3975499999999"/>
    <n v="1182.4256499999999"/>
    <n v="0"/>
    <n v="1692.641278558516"/>
    <n v="931.92566111414067"/>
  </r>
  <r>
    <s v="PROJETADO"/>
    <x v="1"/>
    <x v="1"/>
    <x v="2"/>
    <x v="5"/>
    <x v="0"/>
    <x v="0"/>
    <x v="1"/>
    <x v="11"/>
    <n v="0"/>
    <n v="0"/>
    <n v="4.8789999999999996"/>
    <n v="4.8789999999999996"/>
    <n v="4.8789999999999996"/>
    <n v="4.8789999999999996"/>
    <n v="65"/>
    <x v="0"/>
    <n v="0"/>
    <n v="0"/>
    <n v="22"/>
    <n v="60"/>
    <n v="0"/>
    <n v="238.45"/>
    <n v="242.35"/>
    <m/>
    <n v="346.92381196116338"/>
    <n v="191.00751406315655"/>
    <n v="0"/>
    <n v="1163.3975499999999"/>
    <n v="1182.4256499999999"/>
    <n v="0"/>
    <n v="1692.641278558516"/>
    <n v="931.92566111414067"/>
  </r>
  <r>
    <s v="Regular"/>
    <x v="2"/>
    <x v="1"/>
    <x v="3"/>
    <x v="6"/>
    <x v="1"/>
    <x v="0"/>
    <x v="1"/>
    <x v="0"/>
    <n v="0"/>
    <n v="0"/>
    <n v="6.2439999999999998"/>
    <n v="6.2439999999999998"/>
    <n v="6.2439999999999998"/>
    <n v="6.2439999999999998"/>
    <n v="0"/>
    <x v="0"/>
    <n v="0"/>
    <n v="0"/>
    <n v="31"/>
    <n v="69"/>
    <n v="0"/>
    <n v="269.45"/>
    <n v="213.27"/>
    <m/>
    <n v="421.14033355107131"/>
    <n v="179.54706321936715"/>
    <n v="0"/>
    <n v="1682.4458"/>
    <n v="1331.65788"/>
    <n v="0"/>
    <n v="2629.600242692889"/>
    <n v="1121.0918627417284"/>
  </r>
  <r>
    <s v="Regular"/>
    <x v="2"/>
    <x v="1"/>
    <x v="3"/>
    <x v="6"/>
    <x v="1"/>
    <x v="0"/>
    <x v="1"/>
    <x v="1"/>
    <n v="0"/>
    <n v="0"/>
    <n v="7.9189999999999996"/>
    <n v="7.9189999999999996"/>
    <n v="7.9189999999999996"/>
    <n v="7.9189999999999996"/>
    <n v="0"/>
    <x v="0"/>
    <n v="0"/>
    <n v="0"/>
    <n v="31"/>
    <n v="69"/>
    <n v="0"/>
    <n v="269.45"/>
    <n v="213.27"/>
    <m/>
    <n v="421.14033355107131"/>
    <n v="179.54706321936715"/>
    <n v="0"/>
    <n v="2133.7745499999996"/>
    <n v="1688.8851299999999"/>
    <n v="0"/>
    <n v="3335.0103013909334"/>
    <n v="1421.8331936341683"/>
  </r>
  <r>
    <s v="Refaturamento - Regular"/>
    <x v="2"/>
    <x v="1"/>
    <x v="3"/>
    <x v="6"/>
    <x v="1"/>
    <x v="0"/>
    <x v="1"/>
    <x v="1"/>
    <n v="0"/>
    <n v="0"/>
    <n v="-0.1"/>
    <n v="-0.1"/>
    <n v="-0.1"/>
    <n v="-0.1"/>
    <n v="0"/>
    <x v="0"/>
    <n v="0"/>
    <n v="0"/>
    <n v="31"/>
    <n v="69"/>
    <n v="0"/>
    <n v="269.45"/>
    <n v="213.27"/>
    <m/>
    <n v="421.14033355107131"/>
    <n v="179.54706321936715"/>
    <n v="0"/>
    <n v="-26.945"/>
    <n v="-21.327000000000002"/>
    <n v="0"/>
    <n v="-42.114033355107132"/>
    <n v="-17.954706321936715"/>
  </r>
  <r>
    <s v="Regular"/>
    <x v="2"/>
    <x v="1"/>
    <x v="3"/>
    <x v="6"/>
    <x v="1"/>
    <x v="0"/>
    <x v="1"/>
    <x v="2"/>
    <n v="0"/>
    <n v="0"/>
    <n v="11.58"/>
    <n v="11.58"/>
    <n v="11.58"/>
    <n v="11.58"/>
    <n v="0"/>
    <x v="0"/>
    <n v="0"/>
    <n v="0"/>
    <n v="31"/>
    <n v="69"/>
    <n v="0"/>
    <n v="269.45"/>
    <n v="213.27"/>
    <m/>
    <n v="421.14033355107131"/>
    <n v="179.54706321936715"/>
    <n v="0"/>
    <n v="3120.2309999999998"/>
    <n v="2469.6666"/>
    <n v="0"/>
    <n v="4876.8050625214055"/>
    <n v="2079.1549920802718"/>
  </r>
  <r>
    <s v="Regular"/>
    <x v="2"/>
    <x v="1"/>
    <x v="3"/>
    <x v="6"/>
    <x v="1"/>
    <x v="0"/>
    <x v="1"/>
    <x v="3"/>
    <n v="0"/>
    <n v="0"/>
    <n v="8.4139999999999997"/>
    <n v="8.4139999999999997"/>
    <n v="8.4139999999999997"/>
    <n v="8.4139999999999997"/>
    <n v="0"/>
    <x v="0"/>
    <n v="0"/>
    <n v="0"/>
    <n v="31"/>
    <n v="69"/>
    <n v="0"/>
    <n v="269.45"/>
    <n v="213.27"/>
    <m/>
    <n v="421.14033355107131"/>
    <n v="179.54706321936715"/>
    <n v="0"/>
    <n v="2267.1522999999997"/>
    <n v="1794.4537800000001"/>
    <n v="0"/>
    <n v="3543.474766498714"/>
    <n v="1510.7089899277551"/>
  </r>
  <r>
    <s v="Sistema de Compensação"/>
    <x v="2"/>
    <x v="1"/>
    <x v="3"/>
    <x v="6"/>
    <x v="1"/>
    <x v="0"/>
    <x v="1"/>
    <x v="3"/>
    <n v="0"/>
    <n v="0"/>
    <n v="0.26500000000000001"/>
    <n v="0.26500000000000001"/>
    <n v="0.26500000000000001"/>
    <n v="0.26500000000000001"/>
    <n v="0"/>
    <x v="0"/>
    <n v="0"/>
    <n v="0"/>
    <n v="31"/>
    <n v="69"/>
    <n v="0"/>
    <n v="269.45"/>
    <n v="213.27"/>
    <m/>
    <n v="421.14033355107131"/>
    <n v="179.54706321936715"/>
    <n v="0"/>
    <n v="71.404250000000005"/>
    <n v="56.516550000000002"/>
    <n v="0"/>
    <n v="111.60218839103391"/>
    <n v="47.579971753132298"/>
  </r>
  <r>
    <s v="Regular"/>
    <x v="2"/>
    <x v="1"/>
    <x v="3"/>
    <x v="6"/>
    <x v="1"/>
    <x v="0"/>
    <x v="1"/>
    <x v="4"/>
    <n v="0"/>
    <n v="0"/>
    <n v="19.024999999999999"/>
    <n v="19.024999999999999"/>
    <n v="19.024999999999999"/>
    <n v="19.024999999999999"/>
    <n v="0"/>
    <x v="0"/>
    <n v="0"/>
    <n v="0"/>
    <n v="31"/>
    <n v="69"/>
    <n v="0"/>
    <n v="269.45"/>
    <n v="213.27"/>
    <m/>
    <n v="421.14033355107131"/>
    <n v="179.54706321936715"/>
    <n v="0"/>
    <n v="5126.2862499999992"/>
    <n v="4057.4617499999999"/>
    <n v="0"/>
    <n v="8012.194845809131"/>
    <n v="3415.8828777484596"/>
  </r>
  <r>
    <s v="Refaturamento - Regular"/>
    <x v="2"/>
    <x v="1"/>
    <x v="3"/>
    <x v="6"/>
    <x v="1"/>
    <x v="0"/>
    <x v="1"/>
    <x v="4"/>
    <n v="0"/>
    <n v="0"/>
    <n v="-3.2789999999999999"/>
    <n v="-3.2789999999999999"/>
    <n v="-3.2789999999999999"/>
    <n v="-3.2789999999999999"/>
    <n v="0"/>
    <x v="0"/>
    <n v="0"/>
    <n v="0"/>
    <n v="31"/>
    <n v="69"/>
    <n v="0"/>
    <n v="269.45"/>
    <n v="213.27"/>
    <m/>
    <n v="421.14033355107131"/>
    <n v="179.54706321936715"/>
    <n v="0"/>
    <n v="-883.52654999999993"/>
    <n v="-699.31232999999997"/>
    <n v="0"/>
    <n v="-1380.9191537139627"/>
    <n v="-588.73482029630486"/>
  </r>
  <r>
    <s v="Sistema de Compensação"/>
    <x v="2"/>
    <x v="1"/>
    <x v="3"/>
    <x v="6"/>
    <x v="1"/>
    <x v="0"/>
    <x v="1"/>
    <x v="4"/>
    <n v="0"/>
    <n v="0"/>
    <n v="0.376"/>
    <n v="0.376"/>
    <n v="0.376"/>
    <n v="0.376"/>
    <n v="0"/>
    <x v="0"/>
    <n v="0"/>
    <n v="0"/>
    <n v="31"/>
    <n v="69"/>
    <n v="0"/>
    <n v="269.45"/>
    <n v="213.27"/>
    <m/>
    <n v="421.14033355107131"/>
    <n v="179.54706321936715"/>
    <n v="0"/>
    <n v="101.31319999999999"/>
    <n v="80.189520000000002"/>
    <n v="0"/>
    <n v="158.34876541520282"/>
    <n v="67.509695770482054"/>
  </r>
  <r>
    <s v="Regular"/>
    <x v="2"/>
    <x v="1"/>
    <x v="3"/>
    <x v="6"/>
    <x v="1"/>
    <x v="0"/>
    <x v="1"/>
    <x v="5"/>
    <n v="0"/>
    <n v="0"/>
    <n v="6.173"/>
    <n v="6.173"/>
    <n v="6.173"/>
    <n v="6.173"/>
    <n v="0"/>
    <x v="0"/>
    <n v="0"/>
    <n v="0"/>
    <n v="31"/>
    <n v="69"/>
    <n v="0"/>
    <n v="269.45"/>
    <n v="213.27"/>
    <m/>
    <n v="421.14033355107131"/>
    <n v="179.54706321936715"/>
    <n v="0"/>
    <n v="1663.31485"/>
    <n v="1316.5157100000001"/>
    <n v="0"/>
    <n v="2599.6992790107633"/>
    <n v="1108.3440212531534"/>
  </r>
  <r>
    <s v="Sistema de Compensação"/>
    <x v="2"/>
    <x v="1"/>
    <x v="3"/>
    <x v="6"/>
    <x v="1"/>
    <x v="0"/>
    <x v="1"/>
    <x v="5"/>
    <n v="0"/>
    <n v="0"/>
    <n v="0.16200000000000001"/>
    <n v="0.16200000000000001"/>
    <n v="0.16200000000000001"/>
    <n v="0.16200000000000001"/>
    <n v="0"/>
    <x v="0"/>
    <n v="0"/>
    <n v="0"/>
    <n v="31"/>
    <n v="69"/>
    <n v="0"/>
    <n v="269.45"/>
    <n v="213.27"/>
    <m/>
    <n v="421.14033355107131"/>
    <n v="179.54706321936715"/>
    <n v="0"/>
    <n v="43.6509"/>
    <n v="34.54974"/>
    <n v="0"/>
    <n v="68.224734035273556"/>
    <n v="29.086624241537478"/>
  </r>
  <r>
    <s v="Regular"/>
    <x v="2"/>
    <x v="1"/>
    <x v="3"/>
    <x v="6"/>
    <x v="1"/>
    <x v="0"/>
    <x v="1"/>
    <x v="6"/>
    <n v="0"/>
    <n v="0"/>
    <n v="2.0369999999999999"/>
    <n v="2.0369999999999999"/>
    <n v="2.0369999999999999"/>
    <n v="2.0369999999999999"/>
    <n v="0"/>
    <x v="0"/>
    <n v="0"/>
    <n v="0"/>
    <n v="31"/>
    <n v="69"/>
    <n v="0"/>
    <n v="269.45"/>
    <n v="213.27"/>
    <m/>
    <n v="421.14033355107131"/>
    <n v="179.54706321936715"/>
    <n v="0"/>
    <n v="548.86964999999998"/>
    <n v="434.43099000000001"/>
    <n v="0"/>
    <n v="857.86285944353222"/>
    <n v="365.73736777785086"/>
  </r>
  <r>
    <s v="Sistema de Compensação"/>
    <x v="2"/>
    <x v="1"/>
    <x v="3"/>
    <x v="6"/>
    <x v="1"/>
    <x v="0"/>
    <x v="1"/>
    <x v="6"/>
    <n v="0"/>
    <n v="0"/>
    <n v="0.05"/>
    <n v="0.05"/>
    <n v="0.05"/>
    <n v="0.05"/>
    <n v="0"/>
    <x v="0"/>
    <n v="0"/>
    <n v="0"/>
    <n v="31"/>
    <n v="69"/>
    <n v="0"/>
    <n v="269.45"/>
    <n v="213.27"/>
    <m/>
    <n v="421.14033355107131"/>
    <n v="179.54706321936715"/>
    <n v="0"/>
    <n v="13.4725"/>
    <n v="10.663500000000001"/>
    <n v="0"/>
    <n v="21.057016677553566"/>
    <n v="8.9773531609683577"/>
  </r>
  <r>
    <s v="Regular"/>
    <x v="2"/>
    <x v="1"/>
    <x v="3"/>
    <x v="6"/>
    <x v="1"/>
    <x v="0"/>
    <x v="1"/>
    <x v="7"/>
    <n v="0"/>
    <n v="0"/>
    <n v="0.86"/>
    <n v="0.86"/>
    <n v="0.86"/>
    <n v="0.86"/>
    <n v="0"/>
    <x v="0"/>
    <n v="0"/>
    <n v="0"/>
    <n v="31"/>
    <n v="69"/>
    <n v="0"/>
    <n v="269.45"/>
    <n v="213.27"/>
    <m/>
    <n v="421.14033355107131"/>
    <n v="179.54706321936715"/>
    <n v="0"/>
    <n v="231.72699999999998"/>
    <n v="183.41220000000001"/>
    <n v="0"/>
    <n v="362.18068685392132"/>
    <n v="154.41047436865574"/>
  </r>
  <r>
    <s v="Refaturamento - Regular"/>
    <x v="2"/>
    <x v="1"/>
    <x v="3"/>
    <x v="6"/>
    <x v="1"/>
    <x v="0"/>
    <x v="1"/>
    <x v="7"/>
    <n v="0"/>
    <n v="0"/>
    <n v="-0.65700000000000003"/>
    <n v="-0.65700000000000003"/>
    <n v="-0.65700000000000003"/>
    <n v="-0.65700000000000003"/>
    <n v="0"/>
    <x v="0"/>
    <n v="0"/>
    <n v="0"/>
    <n v="31"/>
    <n v="69"/>
    <n v="0"/>
    <n v="269.45"/>
    <n v="213.27"/>
    <m/>
    <n v="421.14033355107131"/>
    <n v="179.54706321936715"/>
    <n v="0"/>
    <n v="-177.02865"/>
    <n v="-140.11839000000001"/>
    <n v="0"/>
    <n v="-276.68919914305388"/>
    <n v="-117.96242053512422"/>
  </r>
  <r>
    <s v="Regular"/>
    <x v="2"/>
    <x v="1"/>
    <x v="3"/>
    <x v="6"/>
    <x v="1"/>
    <x v="0"/>
    <x v="1"/>
    <x v="8"/>
    <n v="0"/>
    <n v="0"/>
    <n v="0.57999999999999996"/>
    <n v="0.57999999999999996"/>
    <n v="0.57999999999999996"/>
    <n v="0.57999999999999996"/>
    <n v="0"/>
    <x v="0"/>
    <n v="0"/>
    <n v="0"/>
    <n v="31"/>
    <n v="69"/>
    <n v="0"/>
    <n v="269.45"/>
    <n v="213.27"/>
    <m/>
    <n v="421.14033355107131"/>
    <n v="179.54706321936715"/>
    <n v="0"/>
    <n v="156.28099999999998"/>
    <n v="123.6966"/>
    <n v="0"/>
    <n v="244.26139345962133"/>
    <n v="104.13729666723293"/>
  </r>
  <r>
    <s v="Refaturamento - Regular"/>
    <x v="2"/>
    <x v="1"/>
    <x v="3"/>
    <x v="6"/>
    <x v="1"/>
    <x v="0"/>
    <x v="1"/>
    <x v="8"/>
    <n v="0"/>
    <n v="0"/>
    <n v="-9.4E-2"/>
    <n v="-9.4E-2"/>
    <n v="-9.4E-2"/>
    <n v="-9.4E-2"/>
    <n v="0"/>
    <x v="0"/>
    <n v="0"/>
    <n v="0"/>
    <n v="31"/>
    <n v="69"/>
    <n v="0"/>
    <n v="269.45"/>
    <n v="213.27"/>
    <m/>
    <n v="421.14033355107131"/>
    <n v="179.54706321936715"/>
    <n v="0"/>
    <n v="-25.328299999999999"/>
    <n v="-20.04738"/>
    <n v="0"/>
    <n v="-39.587191353800705"/>
    <n v="-16.877423942620513"/>
  </r>
  <r>
    <s v="Regular"/>
    <x v="2"/>
    <x v="1"/>
    <x v="3"/>
    <x v="6"/>
    <x v="1"/>
    <x v="0"/>
    <x v="1"/>
    <x v="9"/>
    <n v="0"/>
    <n v="0"/>
    <n v="1.6779999999999999"/>
    <n v="1.6779999999999999"/>
    <n v="1.6779999999999999"/>
    <n v="1.6779999999999999"/>
    <n v="0"/>
    <x v="0"/>
    <n v="0"/>
    <n v="0"/>
    <n v="31"/>
    <n v="69"/>
    <n v="0"/>
    <n v="269.45"/>
    <n v="213.27"/>
    <m/>
    <n v="421.14033355107131"/>
    <n v="179.54706321936715"/>
    <n v="0"/>
    <n v="452.13709999999998"/>
    <n v="357.86705999999998"/>
    <n v="0"/>
    <n v="706.67347969869763"/>
    <n v="301.27997208209808"/>
  </r>
  <r>
    <s v="Sistema de Compensação"/>
    <x v="2"/>
    <x v="1"/>
    <x v="3"/>
    <x v="6"/>
    <x v="1"/>
    <x v="0"/>
    <x v="1"/>
    <x v="9"/>
    <n v="0"/>
    <n v="0"/>
    <n v="7.2999999999999995E-2"/>
    <n v="7.2999999999999995E-2"/>
    <n v="7.2999999999999995E-2"/>
    <n v="7.2999999999999995E-2"/>
    <n v="0"/>
    <x v="0"/>
    <n v="0"/>
    <n v="0"/>
    <n v="31"/>
    <n v="69"/>
    <n v="0"/>
    <n v="269.45"/>
    <n v="213.27"/>
    <m/>
    <n v="421.14033355107131"/>
    <n v="179.54706321936715"/>
    <n v="0"/>
    <n v="19.669849999999997"/>
    <n v="15.568709999999999"/>
    <n v="0"/>
    <n v="30.743244349228203"/>
    <n v="13.106935615013802"/>
  </r>
  <r>
    <s v="Regular"/>
    <x v="2"/>
    <x v="1"/>
    <x v="3"/>
    <x v="6"/>
    <x v="1"/>
    <x v="0"/>
    <x v="1"/>
    <x v="10"/>
    <n v="0"/>
    <n v="0"/>
    <n v="1.625"/>
    <n v="1.625"/>
    <n v="1.625"/>
    <n v="1.625"/>
    <n v="0"/>
    <x v="0"/>
    <n v="0"/>
    <n v="0"/>
    <n v="31"/>
    <n v="69"/>
    <n v="0"/>
    <n v="269.45"/>
    <n v="213.27"/>
    <m/>
    <n v="421.14033355107131"/>
    <n v="179.54706321936715"/>
    <n v="0"/>
    <n v="437.85624999999999"/>
    <n v="346.56375000000003"/>
    <n v="0"/>
    <n v="684.35304202049088"/>
    <n v="291.76397773147164"/>
  </r>
  <r>
    <s v="PROJETADO"/>
    <x v="2"/>
    <x v="1"/>
    <x v="3"/>
    <x v="6"/>
    <x v="1"/>
    <x v="0"/>
    <x v="1"/>
    <x v="11"/>
    <n v="0"/>
    <n v="0"/>
    <n v="1.625"/>
    <n v="1.625"/>
    <n v="1.625"/>
    <n v="1.625"/>
    <n v="0"/>
    <x v="0"/>
    <n v="0"/>
    <n v="0"/>
    <n v="31"/>
    <n v="69"/>
    <n v="0"/>
    <n v="269.45"/>
    <n v="213.27"/>
    <m/>
    <n v="421.14033355107131"/>
    <n v="179.54706321936715"/>
    <n v="0"/>
    <n v="437.85624999999999"/>
    <n v="346.56375000000003"/>
    <n v="0"/>
    <n v="684.35304202049088"/>
    <n v="291.76397773147164"/>
  </r>
  <r>
    <s v="Regular"/>
    <x v="2"/>
    <x v="1"/>
    <x v="3"/>
    <x v="6"/>
    <x v="2"/>
    <x v="0"/>
    <x v="1"/>
    <x v="0"/>
    <n v="0"/>
    <n v="0"/>
    <n v="6.2990000000000004"/>
    <n v="2.5196000000000001"/>
    <n v="6.2990000000000004"/>
    <n v="2.5196000000000001"/>
    <n v="0"/>
    <x v="0"/>
    <n v="0"/>
    <n v="0"/>
    <n v="31"/>
    <n v="69"/>
    <n v="0"/>
    <n v="269.45"/>
    <n v="213.27"/>
    <m/>
    <n v="421.14033355107131"/>
    <n v="179.54706321936715"/>
    <n v="0"/>
    <n v="678.90621999999996"/>
    <n v="537.35509200000001"/>
    <n v="0"/>
    <n v="1061.1051844152794"/>
    <n v="452.38678048751746"/>
  </r>
  <r>
    <s v="Regular"/>
    <x v="2"/>
    <x v="1"/>
    <x v="3"/>
    <x v="6"/>
    <x v="2"/>
    <x v="0"/>
    <x v="1"/>
    <x v="1"/>
    <n v="0"/>
    <n v="0"/>
    <n v="4.2409999999999997"/>
    <n v="1.6963999999999999"/>
    <n v="4.2409999999999997"/>
    <n v="1.6963999999999999"/>
    <n v="0"/>
    <x v="0"/>
    <n v="0"/>
    <n v="0"/>
    <n v="31"/>
    <n v="69"/>
    <n v="0"/>
    <n v="269.45"/>
    <n v="213.27"/>
    <m/>
    <n v="421.14033355107131"/>
    <n v="179.54706321936715"/>
    <n v="0"/>
    <n v="457.09497999999996"/>
    <n v="361.79122799999999"/>
    <n v="0"/>
    <n v="714.42246183603731"/>
    <n v="304.5836380453344"/>
  </r>
  <r>
    <s v="Regular"/>
    <x v="2"/>
    <x v="1"/>
    <x v="3"/>
    <x v="6"/>
    <x v="2"/>
    <x v="0"/>
    <x v="1"/>
    <x v="2"/>
    <n v="0"/>
    <n v="0"/>
    <n v="14.744"/>
    <n v="5.8975999999999997"/>
    <n v="14.744"/>
    <n v="5.8975999999999997"/>
    <n v="0"/>
    <x v="0"/>
    <n v="0"/>
    <n v="0"/>
    <n v="31"/>
    <n v="69"/>
    <n v="0"/>
    <n v="269.45"/>
    <n v="213.27"/>
    <m/>
    <n v="421.14033355107131"/>
    <n v="179.54706321936715"/>
    <n v="0"/>
    <n v="1589.1083199999998"/>
    <n v="1257.781152"/>
    <n v="0"/>
    <n v="2483.7172311507979"/>
    <n v="1058.8967600425397"/>
  </r>
  <r>
    <s v="Regular"/>
    <x v="2"/>
    <x v="1"/>
    <x v="3"/>
    <x v="6"/>
    <x v="2"/>
    <x v="0"/>
    <x v="1"/>
    <x v="3"/>
    <n v="0"/>
    <n v="0"/>
    <n v="7.0330000000000004"/>
    <n v="2.8132000000000001"/>
    <n v="7.0330000000000004"/>
    <n v="2.8132000000000001"/>
    <n v="0"/>
    <x v="0"/>
    <n v="0"/>
    <n v="0"/>
    <n v="31"/>
    <n v="69"/>
    <n v="0"/>
    <n v="269.45"/>
    <n v="213.27"/>
    <m/>
    <n v="421.14033355107131"/>
    <n v="179.54706321936715"/>
    <n v="0"/>
    <n v="758.01674000000003"/>
    <n v="599.97116400000004"/>
    <n v="0"/>
    <n v="1184.7519863458738"/>
    <n v="505.1017982487237"/>
  </r>
  <r>
    <s v="Sistema de Compensação"/>
    <x v="2"/>
    <x v="1"/>
    <x v="3"/>
    <x v="6"/>
    <x v="2"/>
    <x v="0"/>
    <x v="1"/>
    <x v="3"/>
    <n v="0"/>
    <n v="0"/>
    <n v="0.112"/>
    <n v="4.48E-2"/>
    <n v="0.112"/>
    <n v="4.48E-2"/>
    <n v="0"/>
    <x v="0"/>
    <n v="0"/>
    <n v="0"/>
    <n v="31"/>
    <n v="69"/>
    <n v="0"/>
    <n v="269.45"/>
    <n v="213.27"/>
    <m/>
    <n v="421.14033355107131"/>
    <n v="179.54706321936715"/>
    <n v="0"/>
    <n v="12.071359999999999"/>
    <n v="9.5544960000000003"/>
    <n v="0"/>
    <n v="18.867086943087994"/>
    <n v="8.043708432227648"/>
  </r>
  <r>
    <s v="Regular"/>
    <x v="2"/>
    <x v="1"/>
    <x v="3"/>
    <x v="6"/>
    <x v="2"/>
    <x v="0"/>
    <x v="1"/>
    <x v="4"/>
    <n v="0"/>
    <n v="0"/>
    <n v="16.582000000000001"/>
    <n v="6.6327999999999996"/>
    <n v="16.582000000000001"/>
    <n v="6.6327999999999996"/>
    <n v="0"/>
    <x v="0"/>
    <n v="0"/>
    <n v="0"/>
    <n v="31"/>
    <n v="69"/>
    <n v="0"/>
    <n v="269.45"/>
    <n v="213.27"/>
    <m/>
    <n v="421.14033355107131"/>
    <n v="179.54706321936715"/>
    <n v="0"/>
    <n v="1787.2079599999997"/>
    <n v="1414.577256"/>
    <n v="0"/>
    <n v="2793.3396043775456"/>
    <n v="1190.8997609214184"/>
  </r>
  <r>
    <s v="Refaturamento - Regular"/>
    <x v="2"/>
    <x v="1"/>
    <x v="3"/>
    <x v="6"/>
    <x v="2"/>
    <x v="0"/>
    <x v="1"/>
    <x v="4"/>
    <n v="0"/>
    <n v="0"/>
    <n v="-1.125"/>
    <n v="-0.45"/>
    <n v="-1.125"/>
    <n v="-0.45"/>
    <n v="0"/>
    <x v="0"/>
    <n v="0"/>
    <n v="0"/>
    <n v="31"/>
    <n v="69"/>
    <n v="0"/>
    <n v="269.45"/>
    <n v="213.27"/>
    <m/>
    <n v="421.14033355107131"/>
    <n v="179.54706321936715"/>
    <n v="0"/>
    <n v="-121.2525"/>
    <n v="-95.971500000000006"/>
    <n v="0"/>
    <n v="-189.51315009798211"/>
    <n v="-80.796178448715224"/>
  </r>
  <r>
    <s v="Sistema de Compensação"/>
    <x v="2"/>
    <x v="1"/>
    <x v="3"/>
    <x v="6"/>
    <x v="2"/>
    <x v="0"/>
    <x v="1"/>
    <x v="4"/>
    <n v="0"/>
    <n v="0"/>
    <n v="0.245"/>
    <n v="9.8000000000000004E-2"/>
    <n v="0.245"/>
    <n v="9.8000000000000004E-2"/>
    <n v="0"/>
    <x v="0"/>
    <n v="0"/>
    <n v="0"/>
    <n v="31"/>
    <n v="69"/>
    <n v="0"/>
    <n v="269.45"/>
    <n v="213.27"/>
    <m/>
    <n v="421.14033355107131"/>
    <n v="179.54706321936715"/>
    <n v="0"/>
    <n v="26.406099999999999"/>
    <n v="20.900460000000002"/>
    <n v="0"/>
    <n v="41.271752688004987"/>
    <n v="17.595612195497981"/>
  </r>
  <r>
    <s v="Regular"/>
    <x v="2"/>
    <x v="1"/>
    <x v="3"/>
    <x v="6"/>
    <x v="2"/>
    <x v="0"/>
    <x v="1"/>
    <x v="5"/>
    <n v="0"/>
    <n v="0"/>
    <n v="7.8330000000000002"/>
    <n v="3.1332"/>
    <n v="7.8330000000000002"/>
    <n v="3.1332"/>
    <n v="0"/>
    <x v="0"/>
    <n v="0"/>
    <n v="0"/>
    <n v="31"/>
    <n v="69"/>
    <n v="0"/>
    <n v="269.45"/>
    <n v="213.27"/>
    <m/>
    <n v="421.14033355107131"/>
    <n v="179.54706321936715"/>
    <n v="0"/>
    <n v="844.24073999999996"/>
    <n v="668.21756400000004"/>
    <n v="0"/>
    <n v="1319.5168930822167"/>
    <n v="562.55685847892119"/>
  </r>
  <r>
    <s v="Sistema de Compensação"/>
    <x v="2"/>
    <x v="1"/>
    <x v="3"/>
    <x v="6"/>
    <x v="2"/>
    <x v="0"/>
    <x v="1"/>
    <x v="5"/>
    <n v="0"/>
    <n v="0"/>
    <n v="0.152"/>
    <n v="6.08E-2"/>
    <n v="0.152"/>
    <n v="6.08E-2"/>
    <n v="0"/>
    <x v="0"/>
    <n v="0"/>
    <n v="0"/>
    <n v="31"/>
    <n v="69"/>
    <n v="0"/>
    <n v="269.45"/>
    <n v="213.27"/>
    <m/>
    <n v="421.14033355107131"/>
    <n v="179.54706321936715"/>
    <n v="0"/>
    <n v="16.382559999999998"/>
    <n v="12.966816000000001"/>
    <n v="0"/>
    <n v="25.605332279905134"/>
    <n v="10.916461443737523"/>
  </r>
  <r>
    <s v="Regular"/>
    <x v="2"/>
    <x v="1"/>
    <x v="3"/>
    <x v="6"/>
    <x v="2"/>
    <x v="0"/>
    <x v="1"/>
    <x v="6"/>
    <n v="0"/>
    <n v="0"/>
    <n v="0.79600000000000004"/>
    <n v="0.31840000000000002"/>
    <n v="0.79600000000000004"/>
    <n v="0.31840000000000002"/>
    <n v="0"/>
    <x v="0"/>
    <n v="0"/>
    <n v="0"/>
    <n v="31"/>
    <n v="69"/>
    <n v="0"/>
    <n v="269.45"/>
    <n v="213.27"/>
    <m/>
    <n v="421.14033355107131"/>
    <n v="179.54706321936715"/>
    <n v="0"/>
    <n v="85.792879999999997"/>
    <n v="67.905168000000003"/>
    <n v="0"/>
    <n v="134.09108220266111"/>
    <n v="57.167784929046505"/>
  </r>
  <r>
    <s v="Regular"/>
    <x v="2"/>
    <x v="1"/>
    <x v="3"/>
    <x v="6"/>
    <x v="2"/>
    <x v="0"/>
    <x v="1"/>
    <x v="7"/>
    <n v="0"/>
    <n v="0"/>
    <n v="0.65500000000000003"/>
    <n v="0.26200000000000001"/>
    <n v="0.65500000000000003"/>
    <n v="0.26200000000000001"/>
    <n v="0"/>
    <x v="0"/>
    <n v="0"/>
    <n v="0"/>
    <n v="31"/>
    <n v="69"/>
    <n v="0"/>
    <n v="269.45"/>
    <n v="213.27"/>
    <m/>
    <n v="421.14033355107131"/>
    <n v="179.54706321936715"/>
    <n v="0"/>
    <n v="70.5959"/>
    <n v="55.876740000000005"/>
    <n v="0"/>
    <n v="110.33876739038068"/>
    <n v="47.041330563474197"/>
  </r>
  <r>
    <s v="Regular"/>
    <x v="2"/>
    <x v="1"/>
    <x v="3"/>
    <x v="6"/>
    <x v="2"/>
    <x v="0"/>
    <x v="1"/>
    <x v="8"/>
    <n v="0"/>
    <n v="0"/>
    <n v="0.50800000000000001"/>
    <n v="0.20319999999999999"/>
    <n v="0.50800000000000001"/>
    <n v="0.20319999999999999"/>
    <n v="0"/>
    <x v="0"/>
    <n v="0"/>
    <n v="0"/>
    <n v="31"/>
    <n v="69"/>
    <n v="0"/>
    <n v="269.45"/>
    <n v="213.27"/>
    <m/>
    <n v="421.14033355107131"/>
    <n v="179.54706321936715"/>
    <n v="0"/>
    <n v="54.752239999999993"/>
    <n v="43.336463999999999"/>
    <n v="0"/>
    <n v="85.575715777577685"/>
    <n v="36.483963246175399"/>
  </r>
  <r>
    <s v="Refaturamento - Regular"/>
    <x v="2"/>
    <x v="1"/>
    <x v="3"/>
    <x v="6"/>
    <x v="2"/>
    <x v="0"/>
    <x v="1"/>
    <x v="8"/>
    <n v="0"/>
    <n v="0"/>
    <n v="2.8000000000000001E-2"/>
    <n v="1.12E-2"/>
    <n v="2.8000000000000001E-2"/>
    <n v="1.12E-2"/>
    <n v="0"/>
    <x v="0"/>
    <n v="0"/>
    <n v="0"/>
    <n v="31"/>
    <n v="69"/>
    <n v="0"/>
    <n v="269.45"/>
    <n v="213.27"/>
    <m/>
    <n v="421.14033355107131"/>
    <n v="179.54706321936715"/>
    <n v="0"/>
    <n v="3.0178399999999996"/>
    <n v="2.3886240000000001"/>
    <n v="0"/>
    <n v="4.7167717357719985"/>
    <n v="2.010927108056912"/>
  </r>
  <r>
    <s v="Regular"/>
    <x v="2"/>
    <x v="1"/>
    <x v="3"/>
    <x v="6"/>
    <x v="2"/>
    <x v="0"/>
    <x v="1"/>
    <x v="9"/>
    <n v="0"/>
    <n v="0"/>
    <n v="1.663"/>
    <n v="0.66520000000000001"/>
    <n v="1.663"/>
    <n v="0.66520000000000001"/>
    <n v="0"/>
    <x v="0"/>
    <n v="0"/>
    <n v="0"/>
    <n v="31"/>
    <n v="69"/>
    <n v="0"/>
    <n v="269.45"/>
    <n v="213.27"/>
    <m/>
    <n v="421.14033355107131"/>
    <n v="179.54706321936715"/>
    <n v="0"/>
    <n v="179.23813999999999"/>
    <n v="141.86720400000002"/>
    <n v="0"/>
    <n v="280.14254987817264"/>
    <n v="119.43470645352303"/>
  </r>
  <r>
    <s v="Regular"/>
    <x v="2"/>
    <x v="1"/>
    <x v="3"/>
    <x v="6"/>
    <x v="2"/>
    <x v="0"/>
    <x v="1"/>
    <x v="10"/>
    <n v="0"/>
    <n v="0"/>
    <n v="0.98399999999999999"/>
    <n v="0.39360000000000001"/>
    <n v="0.98399999999999999"/>
    <n v="0.39360000000000001"/>
    <n v="0"/>
    <x v="0"/>
    <n v="0"/>
    <n v="0"/>
    <n v="31"/>
    <n v="69"/>
    <n v="0"/>
    <n v="269.45"/>
    <n v="213.27"/>
    <m/>
    <n v="421.14033355107131"/>
    <n v="179.54706321936715"/>
    <n v="0"/>
    <n v="106.05552"/>
    <n v="83.943072000000001"/>
    <n v="0"/>
    <n v="165.76083528570166"/>
    <n v="70.66972408314291"/>
  </r>
  <r>
    <s v="PROJETADO"/>
    <x v="2"/>
    <x v="1"/>
    <x v="3"/>
    <x v="6"/>
    <x v="2"/>
    <x v="0"/>
    <x v="1"/>
    <x v="11"/>
    <n v="0"/>
    <n v="0"/>
    <n v="0.98399999999999999"/>
    <n v="0.39360000000000001"/>
    <n v="0.98399999999999999"/>
    <n v="0.39360000000000001"/>
    <n v="0"/>
    <x v="0"/>
    <n v="0"/>
    <n v="0"/>
    <n v="31"/>
    <n v="69"/>
    <n v="0"/>
    <n v="269.45"/>
    <n v="213.27"/>
    <m/>
    <n v="421.14033355107131"/>
    <n v="179.54706321936715"/>
    <n v="0"/>
    <n v="106.05552"/>
    <n v="83.943072000000001"/>
    <n v="0"/>
    <n v="165.76083528570166"/>
    <n v="70.66972408314291"/>
  </r>
  <r>
    <s v="Regular"/>
    <x v="2"/>
    <x v="1"/>
    <x v="3"/>
    <x v="7"/>
    <x v="1"/>
    <x v="0"/>
    <x v="1"/>
    <x v="0"/>
    <n v="0"/>
    <n v="0"/>
    <n v="0.24399999999999999"/>
    <n v="0.24399999999999999"/>
    <n v="0.24399999999999999"/>
    <n v="0.24399999999999999"/>
    <n v="0"/>
    <x v="0"/>
    <n v="0"/>
    <n v="0"/>
    <n v="31"/>
    <n v="69"/>
    <n v="0"/>
    <n v="269.45"/>
    <n v="213.27"/>
    <m/>
    <n v="421.14033355107131"/>
    <n v="179.54706321936715"/>
    <n v="0"/>
    <n v="65.745800000000003"/>
    <n v="52.037880000000001"/>
    <n v="0"/>
    <n v="102.75824138646139"/>
    <n v="43.809483425525585"/>
  </r>
  <r>
    <s v="Regular"/>
    <x v="2"/>
    <x v="1"/>
    <x v="3"/>
    <x v="7"/>
    <x v="1"/>
    <x v="0"/>
    <x v="1"/>
    <x v="1"/>
    <n v="0"/>
    <n v="0"/>
    <n v="0.17899999999999999"/>
    <n v="0.17899999999999999"/>
    <n v="0.17899999999999999"/>
    <n v="0.17899999999999999"/>
    <n v="0"/>
    <x v="0"/>
    <n v="0"/>
    <n v="0"/>
    <n v="31"/>
    <n v="69"/>
    <n v="0"/>
    <n v="269.45"/>
    <n v="213.27"/>
    <m/>
    <n v="421.14033355107131"/>
    <n v="179.54706321936715"/>
    <n v="0"/>
    <n v="48.231549999999999"/>
    <n v="38.175330000000002"/>
    <n v="0"/>
    <n v="75.384119705641766"/>
    <n v="32.138924316266717"/>
  </r>
  <r>
    <s v="Regular"/>
    <x v="2"/>
    <x v="1"/>
    <x v="3"/>
    <x v="7"/>
    <x v="1"/>
    <x v="0"/>
    <x v="1"/>
    <x v="2"/>
    <n v="0"/>
    <n v="0"/>
    <n v="0.47499999999999998"/>
    <n v="0.47499999999999998"/>
    <n v="0.47499999999999998"/>
    <n v="0.47499999999999998"/>
    <n v="0"/>
    <x v="0"/>
    <n v="0"/>
    <n v="0"/>
    <n v="31"/>
    <n v="69"/>
    <n v="0"/>
    <n v="269.45"/>
    <n v="213.27"/>
    <m/>
    <n v="421.14033355107131"/>
    <n v="179.54706321936715"/>
    <n v="0"/>
    <n v="127.98874999999998"/>
    <n v="101.30325000000001"/>
    <n v="0"/>
    <n v="200.04165843675887"/>
    <n v="85.284855029199392"/>
  </r>
  <r>
    <s v="Regular"/>
    <x v="2"/>
    <x v="1"/>
    <x v="3"/>
    <x v="7"/>
    <x v="1"/>
    <x v="0"/>
    <x v="1"/>
    <x v="3"/>
    <n v="0"/>
    <n v="0"/>
    <n v="0.35299999999999998"/>
    <n v="0.35299999999999998"/>
    <n v="0.35299999999999998"/>
    <n v="0.35299999999999998"/>
    <n v="0"/>
    <x v="0"/>
    <n v="0"/>
    <n v="0"/>
    <n v="31"/>
    <n v="69"/>
    <n v="0"/>
    <n v="269.45"/>
    <n v="213.27"/>
    <m/>
    <n v="421.14033355107131"/>
    <n v="179.54706321936715"/>
    <n v="0"/>
    <n v="95.115849999999995"/>
    <n v="75.284310000000005"/>
    <n v="0"/>
    <n v="148.66253774352816"/>
    <n v="63.380113316436599"/>
  </r>
  <r>
    <s v="Regular"/>
    <x v="2"/>
    <x v="1"/>
    <x v="3"/>
    <x v="7"/>
    <x v="1"/>
    <x v="0"/>
    <x v="1"/>
    <x v="4"/>
    <n v="0"/>
    <n v="0"/>
    <n v="0.81200000000000006"/>
    <n v="0.81200000000000006"/>
    <n v="0.81200000000000006"/>
    <n v="0.81200000000000006"/>
    <n v="0"/>
    <x v="0"/>
    <n v="0"/>
    <n v="0"/>
    <n v="31"/>
    <n v="69"/>
    <n v="0"/>
    <n v="269.45"/>
    <n v="213.27"/>
    <m/>
    <n v="421.14033355107131"/>
    <n v="179.54706321936715"/>
    <n v="0"/>
    <n v="218.79340000000002"/>
    <n v="173.17524000000003"/>
    <n v="0"/>
    <n v="341.9659508434699"/>
    <n v="145.79221533412613"/>
  </r>
  <r>
    <s v="Regular"/>
    <x v="2"/>
    <x v="1"/>
    <x v="3"/>
    <x v="7"/>
    <x v="1"/>
    <x v="0"/>
    <x v="1"/>
    <x v="5"/>
    <n v="0"/>
    <n v="0"/>
    <n v="0.88600000000000001"/>
    <n v="0.88600000000000001"/>
    <n v="0.88600000000000001"/>
    <n v="0.88600000000000001"/>
    <n v="0"/>
    <x v="0"/>
    <n v="0"/>
    <n v="0"/>
    <n v="31"/>
    <n v="69"/>
    <n v="0"/>
    <n v="269.45"/>
    <n v="213.27"/>
    <m/>
    <n v="421.14033355107131"/>
    <n v="179.54706321936715"/>
    <n v="0"/>
    <n v="238.73269999999999"/>
    <n v="188.95722000000001"/>
    <n v="0"/>
    <n v="373.13033552624916"/>
    <n v="159.0786980123593"/>
  </r>
  <r>
    <s v="Regular"/>
    <x v="2"/>
    <x v="1"/>
    <x v="3"/>
    <x v="7"/>
    <x v="1"/>
    <x v="0"/>
    <x v="1"/>
    <x v="6"/>
    <n v="0"/>
    <n v="0"/>
    <n v="1.085"/>
    <n v="1.085"/>
    <n v="1.085"/>
    <n v="1.085"/>
    <n v="0"/>
    <x v="0"/>
    <n v="0"/>
    <n v="0"/>
    <n v="31"/>
    <n v="69"/>
    <n v="0"/>
    <n v="269.45"/>
    <n v="213.27"/>
    <m/>
    <n v="421.14033355107131"/>
    <n v="179.54706321936715"/>
    <n v="0"/>
    <n v="292.35325"/>
    <n v="231.39795000000001"/>
    <n v="0"/>
    <n v="456.93726190291233"/>
    <n v="194.80856359301336"/>
  </r>
  <r>
    <s v="Regular"/>
    <x v="2"/>
    <x v="1"/>
    <x v="3"/>
    <x v="7"/>
    <x v="1"/>
    <x v="0"/>
    <x v="1"/>
    <x v="7"/>
    <n v="0"/>
    <n v="0"/>
    <n v="1.05"/>
    <n v="1.05"/>
    <n v="1.05"/>
    <n v="1.05"/>
    <n v="0"/>
    <x v="0"/>
    <n v="0"/>
    <n v="0"/>
    <n v="31"/>
    <n v="69"/>
    <n v="0"/>
    <n v="269.45"/>
    <n v="213.27"/>
    <m/>
    <n v="421.14033355107131"/>
    <n v="179.54706321936715"/>
    <n v="0"/>
    <n v="282.92250000000001"/>
    <n v="223.93350000000001"/>
    <n v="0"/>
    <n v="442.19735022862488"/>
    <n v="188.52441638033551"/>
  </r>
  <r>
    <s v="Regular"/>
    <x v="2"/>
    <x v="1"/>
    <x v="3"/>
    <x v="7"/>
    <x v="1"/>
    <x v="0"/>
    <x v="1"/>
    <x v="8"/>
    <n v="0"/>
    <n v="0"/>
    <n v="0.69499999999999995"/>
    <n v="0.69499999999999995"/>
    <n v="0.69499999999999995"/>
    <n v="0.69499999999999995"/>
    <n v="0"/>
    <x v="0"/>
    <n v="0"/>
    <n v="0"/>
    <n v="31"/>
    <n v="69"/>
    <n v="0"/>
    <n v="269.45"/>
    <n v="213.27"/>
    <m/>
    <n v="421.14033355107131"/>
    <n v="179.54706321936715"/>
    <n v="0"/>
    <n v="187.26774999999998"/>
    <n v="148.22264999999999"/>
    <n v="0"/>
    <n v="292.69253181799456"/>
    <n v="124.78520893746015"/>
  </r>
  <r>
    <s v="Regular"/>
    <x v="2"/>
    <x v="1"/>
    <x v="3"/>
    <x v="7"/>
    <x v="1"/>
    <x v="0"/>
    <x v="1"/>
    <x v="9"/>
    <n v="0"/>
    <n v="0"/>
    <n v="0.20899999999999999"/>
    <n v="0.20899999999999999"/>
    <n v="0.20899999999999999"/>
    <n v="0.20899999999999999"/>
    <n v="0"/>
    <x v="0"/>
    <n v="0"/>
    <n v="0"/>
    <n v="31"/>
    <n v="69"/>
    <n v="0"/>
    <n v="269.45"/>
    <n v="213.27"/>
    <m/>
    <n v="421.14033355107131"/>
    <n v="179.54706321936715"/>
    <n v="0"/>
    <n v="56.315049999999992"/>
    <n v="44.573430000000002"/>
    <n v="0"/>
    <n v="88.018329712173895"/>
    <n v="37.525336212847733"/>
  </r>
  <r>
    <s v="Regular"/>
    <x v="2"/>
    <x v="1"/>
    <x v="3"/>
    <x v="7"/>
    <x v="1"/>
    <x v="0"/>
    <x v="1"/>
    <x v="10"/>
    <n v="0"/>
    <n v="0"/>
    <n v="0.16"/>
    <n v="0.16"/>
    <n v="0.16"/>
    <n v="0.16"/>
    <n v="0"/>
    <x v="0"/>
    <n v="0"/>
    <n v="0"/>
    <n v="31"/>
    <n v="69"/>
    <n v="0"/>
    <n v="269.45"/>
    <n v="213.27"/>
    <m/>
    <n v="421.14033355107131"/>
    <n v="179.54706321936715"/>
    <n v="0"/>
    <n v="43.112000000000002"/>
    <n v="34.123200000000004"/>
    <n v="0"/>
    <n v="67.382453368171412"/>
    <n v="28.727530115098745"/>
  </r>
  <r>
    <s v="PROJETADO"/>
    <x v="2"/>
    <x v="1"/>
    <x v="3"/>
    <x v="7"/>
    <x v="1"/>
    <x v="0"/>
    <x v="1"/>
    <x v="11"/>
    <n v="0"/>
    <n v="0"/>
    <n v="0.16"/>
    <n v="0.16"/>
    <n v="0.16"/>
    <n v="0.16"/>
    <n v="0"/>
    <x v="0"/>
    <n v="0"/>
    <n v="0"/>
    <n v="31"/>
    <n v="69"/>
    <n v="0"/>
    <n v="269.45"/>
    <n v="213.27"/>
    <m/>
    <n v="421.14033355107131"/>
    <n v="179.54706321936715"/>
    <n v="0"/>
    <n v="43.112000000000002"/>
    <n v="34.123200000000004"/>
    <n v="0"/>
    <n v="67.382453368171412"/>
    <n v="28.727530115098745"/>
  </r>
  <r>
    <s v="Regular"/>
    <x v="2"/>
    <x v="1"/>
    <x v="3"/>
    <x v="7"/>
    <x v="2"/>
    <x v="0"/>
    <x v="1"/>
    <x v="0"/>
    <n v="0"/>
    <n v="0"/>
    <n v="0.97499999999999998"/>
    <n v="0.39"/>
    <n v="0.97499999999999998"/>
    <n v="0.39"/>
    <n v="0"/>
    <x v="0"/>
    <n v="0"/>
    <n v="0"/>
    <n v="31"/>
    <n v="69"/>
    <n v="0"/>
    <n v="269.45"/>
    <n v="213.27"/>
    <m/>
    <n v="421.14033355107131"/>
    <n v="179.54706321936715"/>
    <n v="0"/>
    <n v="105.0855"/>
    <n v="83.175300000000007"/>
    <n v="0"/>
    <n v="164.24473008491782"/>
    <n v="70.023354655553192"/>
  </r>
  <r>
    <s v="Regular"/>
    <x v="2"/>
    <x v="1"/>
    <x v="3"/>
    <x v="7"/>
    <x v="2"/>
    <x v="0"/>
    <x v="1"/>
    <x v="1"/>
    <n v="0"/>
    <n v="0"/>
    <n v="1.417"/>
    <n v="0.56679999999999997"/>
    <n v="1.417"/>
    <n v="0.56679999999999997"/>
    <n v="0"/>
    <x v="0"/>
    <n v="0"/>
    <n v="0"/>
    <n v="31"/>
    <n v="69"/>
    <n v="0"/>
    <n v="269.45"/>
    <n v="213.27"/>
    <m/>
    <n v="421.14033355107131"/>
    <n v="179.54706321936715"/>
    <n v="0"/>
    <n v="152.72425999999999"/>
    <n v="120.88143599999999"/>
    <n v="0"/>
    <n v="238.7023410567472"/>
    <n v="101.76727543273729"/>
  </r>
  <r>
    <s v="Regular"/>
    <x v="2"/>
    <x v="1"/>
    <x v="3"/>
    <x v="7"/>
    <x v="2"/>
    <x v="0"/>
    <x v="1"/>
    <x v="2"/>
    <n v="0"/>
    <n v="0"/>
    <n v="1.6319999999999999"/>
    <n v="0.65280000000000005"/>
    <n v="1.6319999999999999"/>
    <n v="0.65280000000000005"/>
    <n v="0"/>
    <x v="0"/>
    <n v="0"/>
    <n v="0"/>
    <n v="31"/>
    <n v="69"/>
    <n v="0"/>
    <n v="269.45"/>
    <n v="213.27"/>
    <m/>
    <n v="421.14033355107131"/>
    <n v="179.54706321936715"/>
    <n v="0"/>
    <n v="175.89696000000001"/>
    <n v="139.22265600000003"/>
    <n v="0"/>
    <n v="274.92040974213938"/>
    <n v="117.20832286960288"/>
  </r>
  <r>
    <s v="Regular"/>
    <x v="2"/>
    <x v="1"/>
    <x v="3"/>
    <x v="7"/>
    <x v="2"/>
    <x v="0"/>
    <x v="1"/>
    <x v="3"/>
    <n v="0"/>
    <n v="0"/>
    <n v="2.3889999999999998"/>
    <n v="0.9556"/>
    <n v="2.3889999999999998"/>
    <n v="0.9556"/>
    <n v="0"/>
    <x v="0"/>
    <n v="0"/>
    <n v="0"/>
    <n v="31"/>
    <n v="69"/>
    <n v="0"/>
    <n v="269.45"/>
    <n v="213.27"/>
    <m/>
    <n v="421.14033355107131"/>
    <n v="179.54706321936715"/>
    <n v="0"/>
    <n v="257.48642000000001"/>
    <n v="203.80081200000001"/>
    <n v="0"/>
    <n v="402.44170274140373"/>
    <n v="171.57517361242725"/>
  </r>
  <r>
    <s v="Regular"/>
    <x v="2"/>
    <x v="1"/>
    <x v="3"/>
    <x v="7"/>
    <x v="2"/>
    <x v="0"/>
    <x v="1"/>
    <x v="4"/>
    <n v="0"/>
    <n v="0"/>
    <n v="3.42"/>
    <n v="1.3680000000000001"/>
    <n v="3.42"/>
    <n v="1.3680000000000001"/>
    <n v="0"/>
    <x v="0"/>
    <n v="0"/>
    <n v="0"/>
    <n v="31"/>
    <n v="69"/>
    <n v="0"/>
    <n v="269.45"/>
    <n v="213.27"/>
    <m/>
    <n v="421.14033355107131"/>
    <n v="179.54706321936715"/>
    <n v="0"/>
    <n v="368.60759999999999"/>
    <n v="291.75336000000004"/>
    <n v="0"/>
    <n v="576.11997629786561"/>
    <n v="245.62038248409428"/>
  </r>
  <r>
    <s v="Regular"/>
    <x v="2"/>
    <x v="1"/>
    <x v="3"/>
    <x v="7"/>
    <x v="2"/>
    <x v="0"/>
    <x v="1"/>
    <x v="5"/>
    <n v="0"/>
    <n v="0"/>
    <n v="3.9550000000000001"/>
    <n v="1.5820000000000001"/>
    <n v="3.9550000000000001"/>
    <n v="1.5820000000000001"/>
    <n v="0"/>
    <x v="0"/>
    <n v="0"/>
    <n v="0"/>
    <n v="31"/>
    <n v="69"/>
    <n v="0"/>
    <n v="269.45"/>
    <n v="213.27"/>
    <m/>
    <n v="421.14033355107131"/>
    <n v="179.54706321936715"/>
    <n v="0"/>
    <n v="426.26990000000001"/>
    <n v="337.39314000000002"/>
    <n v="0"/>
    <n v="666.2440076777948"/>
    <n v="284.04345401303885"/>
  </r>
  <r>
    <s v="Regular"/>
    <x v="2"/>
    <x v="1"/>
    <x v="3"/>
    <x v="7"/>
    <x v="2"/>
    <x v="0"/>
    <x v="1"/>
    <x v="6"/>
    <n v="0"/>
    <n v="0"/>
    <n v="2.3809999999999998"/>
    <n v="0.95240000000000002"/>
    <n v="2.3809999999999998"/>
    <n v="0.95240000000000002"/>
    <n v="0"/>
    <x v="0"/>
    <n v="0"/>
    <n v="0"/>
    <n v="31"/>
    <n v="69"/>
    <n v="0"/>
    <n v="269.45"/>
    <n v="213.27"/>
    <m/>
    <n v="421.14033355107131"/>
    <n v="179.54706321936715"/>
    <n v="0"/>
    <n v="256.62418000000002"/>
    <n v="203.11834800000003"/>
    <n v="0"/>
    <n v="401.09405367404031"/>
    <n v="171.00062301012528"/>
  </r>
  <r>
    <s v="Regular"/>
    <x v="2"/>
    <x v="1"/>
    <x v="3"/>
    <x v="7"/>
    <x v="2"/>
    <x v="0"/>
    <x v="1"/>
    <x v="7"/>
    <n v="0"/>
    <n v="0"/>
    <n v="2.88"/>
    <n v="1.1519999999999999"/>
    <n v="2.88"/>
    <n v="1.1519999999999999"/>
    <n v="0"/>
    <x v="0"/>
    <n v="0"/>
    <n v="0"/>
    <n v="31"/>
    <n v="69"/>
    <n v="0"/>
    <n v="269.45"/>
    <n v="213.27"/>
    <m/>
    <n v="421.14033355107131"/>
    <n v="179.54706321936715"/>
    <n v="0"/>
    <n v="310.40639999999996"/>
    <n v="245.68704"/>
    <n v="0"/>
    <n v="485.15366425083408"/>
    <n v="206.83821682871093"/>
  </r>
  <r>
    <s v="Regular"/>
    <x v="2"/>
    <x v="1"/>
    <x v="3"/>
    <x v="7"/>
    <x v="2"/>
    <x v="0"/>
    <x v="1"/>
    <x v="8"/>
    <n v="0"/>
    <n v="0"/>
    <n v="2.907"/>
    <n v="1.1628000000000001"/>
    <n v="2.907"/>
    <n v="1.1628000000000001"/>
    <n v="0"/>
    <x v="0"/>
    <n v="0"/>
    <n v="0"/>
    <n v="31"/>
    <n v="69"/>
    <n v="0"/>
    <n v="269.45"/>
    <n v="213.27"/>
    <m/>
    <n v="421.14033355107131"/>
    <n v="179.54706321936715"/>
    <n v="0"/>
    <n v="313.31646000000001"/>
    <n v="247.99035600000002"/>
    <n v="0"/>
    <n v="489.70197985318572"/>
    <n v="208.77732511148014"/>
  </r>
  <r>
    <s v="Regular"/>
    <x v="2"/>
    <x v="1"/>
    <x v="3"/>
    <x v="7"/>
    <x v="2"/>
    <x v="0"/>
    <x v="1"/>
    <x v="9"/>
    <n v="0"/>
    <n v="0"/>
    <n v="0.53700000000000003"/>
    <n v="0.21479999999999999"/>
    <n v="0.53700000000000003"/>
    <n v="0.21479999999999999"/>
    <n v="0"/>
    <x v="0"/>
    <n v="0"/>
    <n v="0"/>
    <n v="31"/>
    <n v="69"/>
    <n v="0"/>
    <n v="269.45"/>
    <n v="213.27"/>
    <m/>
    <n v="421.14033355107131"/>
    <n v="179.54706321936715"/>
    <n v="0"/>
    <n v="57.877859999999998"/>
    <n v="45.810395999999997"/>
    <n v="0"/>
    <n v="90.460943646770119"/>
    <n v="38.566709179520061"/>
  </r>
  <r>
    <s v="Regular"/>
    <x v="2"/>
    <x v="1"/>
    <x v="3"/>
    <x v="7"/>
    <x v="2"/>
    <x v="0"/>
    <x v="1"/>
    <x v="10"/>
    <n v="0"/>
    <n v="0"/>
    <n v="0.435"/>
    <n v="0.17399999999999999"/>
    <n v="0.435"/>
    <n v="0.17399999999999999"/>
    <n v="0"/>
    <x v="0"/>
    <n v="0"/>
    <n v="0"/>
    <n v="31"/>
    <n v="69"/>
    <n v="0"/>
    <n v="269.45"/>
    <n v="213.27"/>
    <m/>
    <n v="421.14033355107131"/>
    <n v="179.54706321936715"/>
    <n v="0"/>
    <n v="46.884299999999996"/>
    <n v="37.108980000000003"/>
    <n v="0"/>
    <n v="73.278418037886397"/>
    <n v="31.241189000169882"/>
  </r>
  <r>
    <s v="PROJETADO"/>
    <x v="2"/>
    <x v="1"/>
    <x v="3"/>
    <x v="7"/>
    <x v="2"/>
    <x v="0"/>
    <x v="1"/>
    <x v="11"/>
    <n v="0"/>
    <n v="0"/>
    <n v="0.435"/>
    <n v="0.17399999999999999"/>
    <n v="0.435"/>
    <n v="0.17399999999999999"/>
    <n v="0"/>
    <x v="0"/>
    <n v="0"/>
    <n v="0"/>
    <n v="31"/>
    <n v="69"/>
    <n v="0"/>
    <n v="269.45"/>
    <n v="213.27"/>
    <m/>
    <n v="421.14033355107131"/>
    <n v="179.54706321936715"/>
    <n v="0"/>
    <n v="46.884299999999996"/>
    <n v="37.108980000000003"/>
    <n v="0"/>
    <n v="73.278418037886397"/>
    <n v="31.241189000169882"/>
  </r>
  <r>
    <s v="Regular"/>
    <x v="2"/>
    <x v="1"/>
    <x v="3"/>
    <x v="0"/>
    <x v="0"/>
    <x v="0"/>
    <x v="1"/>
    <x v="0"/>
    <n v="0"/>
    <n v="0"/>
    <n v="370.56599999999997"/>
    <n v="370.56599999999997"/>
    <n v="370.56599999999997"/>
    <n v="370.56599999999997"/>
    <n v="1600"/>
    <x v="0"/>
    <n v="0"/>
    <n v="0"/>
    <n v="31"/>
    <n v="69"/>
    <n v="0"/>
    <n v="269.45"/>
    <n v="213.27"/>
    <m/>
    <n v="421.14033355107131"/>
    <n v="179.54706321936715"/>
    <n v="0"/>
    <n v="99849.008699999991"/>
    <n v="79030.610820000002"/>
    <n v="0"/>
    <n v="156060.28884268628"/>
    <n v="66534.037028948005"/>
  </r>
  <r>
    <s v="Refaturamento - Regular"/>
    <x v="2"/>
    <x v="1"/>
    <x v="3"/>
    <x v="0"/>
    <x v="0"/>
    <x v="0"/>
    <x v="1"/>
    <x v="0"/>
    <n v="0"/>
    <n v="0"/>
    <n v="-0.499"/>
    <n v="-0.499"/>
    <n v="-0.499"/>
    <n v="-0.499"/>
    <n v="0"/>
    <x v="0"/>
    <n v="0"/>
    <n v="0"/>
    <n v="31"/>
    <n v="69"/>
    <n v="0"/>
    <n v="269.45"/>
    <n v="213.27"/>
    <m/>
    <n v="421.14033355107131"/>
    <n v="179.54706321936715"/>
    <n v="0"/>
    <n v="-134.45554999999999"/>
    <n v="-106.42173000000001"/>
    <n v="0"/>
    <n v="-210.14902644198457"/>
    <n v="-89.593984546464199"/>
  </r>
  <r>
    <s v="Sistema de Compensação"/>
    <x v="2"/>
    <x v="1"/>
    <x v="3"/>
    <x v="0"/>
    <x v="0"/>
    <x v="0"/>
    <x v="1"/>
    <x v="0"/>
    <n v="0"/>
    <n v="0"/>
    <n v="1.986"/>
    <n v="1.986"/>
    <n v="1.986"/>
    <n v="1.986"/>
    <n v="17"/>
    <x v="0"/>
    <n v="0"/>
    <n v="0"/>
    <n v="31"/>
    <n v="69"/>
    <n v="0"/>
    <n v="269.45"/>
    <n v="213.27"/>
    <m/>
    <n v="421.14033355107131"/>
    <n v="179.54706321936715"/>
    <n v="0"/>
    <n v="535.1277"/>
    <n v="423.55422000000004"/>
    <n v="0"/>
    <n v="836.38470243242762"/>
    <n v="356.58046755366314"/>
  </r>
  <r>
    <s v="Regular"/>
    <x v="2"/>
    <x v="1"/>
    <x v="3"/>
    <x v="0"/>
    <x v="0"/>
    <x v="0"/>
    <x v="1"/>
    <x v="1"/>
    <n v="0"/>
    <n v="0"/>
    <n v="391.22899999999998"/>
    <n v="391.22899999999998"/>
    <n v="391.22899999999998"/>
    <n v="391.22899999999998"/>
    <n v="1640"/>
    <x v="0"/>
    <n v="0"/>
    <n v="0"/>
    <n v="31"/>
    <n v="69"/>
    <n v="0"/>
    <n v="269.45"/>
    <n v="213.27"/>
    <m/>
    <n v="421.14033355107131"/>
    <n v="179.54706321936715"/>
    <n v="0"/>
    <n v="105416.65405"/>
    <n v="83437.40883"/>
    <n v="0"/>
    <n v="164762.31155485206"/>
    <n v="70244.017996249793"/>
  </r>
  <r>
    <s v="Refaturamento - Regular"/>
    <x v="2"/>
    <x v="1"/>
    <x v="3"/>
    <x v="0"/>
    <x v="0"/>
    <x v="0"/>
    <x v="1"/>
    <x v="1"/>
    <n v="0"/>
    <n v="0"/>
    <n v="-0.153"/>
    <n v="-0.153"/>
    <n v="-0.153"/>
    <n v="-0.153"/>
    <n v="0"/>
    <x v="0"/>
    <n v="0"/>
    <n v="0"/>
    <n v="31"/>
    <n v="69"/>
    <n v="0"/>
    <n v="269.45"/>
    <n v="213.27"/>
    <m/>
    <n v="421.14033355107131"/>
    <n v="179.54706321936715"/>
    <n v="0"/>
    <n v="-41.225849999999994"/>
    <n v="-32.630310000000001"/>
    <n v="0"/>
    <n v="-64.434471033313912"/>
    <n v="-27.470700672563172"/>
  </r>
  <r>
    <s v="Sistema de Compensação"/>
    <x v="2"/>
    <x v="1"/>
    <x v="3"/>
    <x v="0"/>
    <x v="0"/>
    <x v="0"/>
    <x v="1"/>
    <x v="1"/>
    <n v="0"/>
    <n v="0"/>
    <n v="2.456"/>
    <n v="2.456"/>
    <n v="2.456"/>
    <n v="2.456"/>
    <n v="18"/>
    <x v="0"/>
    <n v="0"/>
    <n v="0"/>
    <n v="31"/>
    <n v="69"/>
    <n v="0"/>
    <n v="269.45"/>
    <n v="213.27"/>
    <m/>
    <n v="421.14033355107131"/>
    <n v="179.54706321936715"/>
    <n v="0"/>
    <n v="661.76919999999996"/>
    <n v="523.79111999999998"/>
    <n v="0"/>
    <n v="1034.3206592014312"/>
    <n v="440.96758726676569"/>
  </r>
  <r>
    <s v="Regular"/>
    <x v="2"/>
    <x v="1"/>
    <x v="3"/>
    <x v="0"/>
    <x v="0"/>
    <x v="0"/>
    <x v="1"/>
    <x v="2"/>
    <n v="0"/>
    <n v="0"/>
    <n v="501.84"/>
    <n v="501.84"/>
    <n v="501.84"/>
    <n v="501.84"/>
    <n v="1656"/>
    <x v="0"/>
    <n v="0"/>
    <n v="0"/>
    <n v="31"/>
    <n v="69"/>
    <n v="0"/>
    <n v="269.45"/>
    <n v="213.27"/>
    <m/>
    <n v="421.14033355107131"/>
    <n v="179.54706321936715"/>
    <n v="0"/>
    <n v="135220.788"/>
    <n v="107027.41680000001"/>
    <n v="0"/>
    <n v="211345.06498926962"/>
    <n v="90103.898206007201"/>
  </r>
  <r>
    <s v="Sistema de Compensação"/>
    <x v="2"/>
    <x v="1"/>
    <x v="3"/>
    <x v="0"/>
    <x v="0"/>
    <x v="0"/>
    <x v="1"/>
    <x v="2"/>
    <n v="0"/>
    <n v="0"/>
    <n v="6.399"/>
    <n v="6.399"/>
    <n v="6.399"/>
    <n v="6.399"/>
    <n v="21"/>
    <x v="0"/>
    <n v="0"/>
    <n v="0"/>
    <n v="31"/>
    <n v="69"/>
    <n v="0"/>
    <n v="269.45"/>
    <n v="213.27"/>
    <m/>
    <n v="421.14033355107131"/>
    <n v="179.54706321936715"/>
    <n v="0"/>
    <n v="1724.21055"/>
    <n v="1364.7147300000001"/>
    <n v="0"/>
    <n v="2694.8769943933053"/>
    <n v="1148.9216575407304"/>
  </r>
  <r>
    <s v="Regular"/>
    <x v="2"/>
    <x v="1"/>
    <x v="3"/>
    <x v="0"/>
    <x v="0"/>
    <x v="0"/>
    <x v="1"/>
    <x v="3"/>
    <n v="0"/>
    <n v="0"/>
    <n v="530.64599999999996"/>
    <n v="530.64599999999996"/>
    <n v="530.64599999999996"/>
    <n v="530.64599999999996"/>
    <n v="1664"/>
    <x v="0"/>
    <n v="0"/>
    <n v="0"/>
    <n v="31"/>
    <n v="69"/>
    <n v="0"/>
    <n v="269.45"/>
    <n v="213.27"/>
    <m/>
    <n v="421.14033355107131"/>
    <n v="179.54706321936715"/>
    <n v="0"/>
    <n v="142982.56469999999"/>
    <n v="113170.87242"/>
    <n v="0"/>
    <n v="223476.43343754177"/>
    <n v="95275.930909104296"/>
  </r>
  <r>
    <s v="Refaturamento - Regular"/>
    <x v="2"/>
    <x v="1"/>
    <x v="3"/>
    <x v="0"/>
    <x v="0"/>
    <x v="0"/>
    <x v="1"/>
    <x v="3"/>
    <n v="0"/>
    <n v="0"/>
    <n v="-0.61599999999999999"/>
    <n v="-0.61599999999999999"/>
    <n v="-0.61599999999999999"/>
    <n v="-0.61599999999999999"/>
    <n v="0"/>
    <x v="0"/>
    <n v="0"/>
    <n v="0"/>
    <n v="31"/>
    <n v="69"/>
    <n v="0"/>
    <n v="269.45"/>
    <n v="213.27"/>
    <m/>
    <n v="421.14033355107131"/>
    <n v="179.54706321936715"/>
    <n v="0"/>
    <n v="-165.9812"/>
    <n v="-131.37432000000001"/>
    <n v="0"/>
    <n v="-259.42244546745991"/>
    <n v="-110.60099094313016"/>
  </r>
  <r>
    <s v="Sistema de Compensação"/>
    <x v="2"/>
    <x v="1"/>
    <x v="3"/>
    <x v="0"/>
    <x v="0"/>
    <x v="0"/>
    <x v="1"/>
    <x v="3"/>
    <n v="0"/>
    <n v="0"/>
    <n v="11.766"/>
    <n v="11.766"/>
    <n v="11.766"/>
    <n v="11.766"/>
    <n v="21"/>
    <x v="0"/>
    <n v="0"/>
    <n v="0"/>
    <n v="31"/>
    <n v="69"/>
    <n v="0"/>
    <n v="269.45"/>
    <n v="213.27"/>
    <m/>
    <n v="421.14033355107131"/>
    <n v="179.54706321936715"/>
    <n v="0"/>
    <n v="3170.3487"/>
    <n v="2509.33482"/>
    <n v="0"/>
    <n v="4955.1371645619047"/>
    <n v="2112.5507458390739"/>
  </r>
  <r>
    <s v="Regular"/>
    <x v="2"/>
    <x v="1"/>
    <x v="3"/>
    <x v="0"/>
    <x v="0"/>
    <x v="0"/>
    <x v="1"/>
    <x v="4"/>
    <n v="0"/>
    <n v="0"/>
    <n v="526.49800000000005"/>
    <n v="526.49800000000005"/>
    <n v="526.49800000000005"/>
    <n v="526.49800000000005"/>
    <n v="1665"/>
    <x v="0"/>
    <n v="0"/>
    <n v="0"/>
    <n v="31"/>
    <n v="69"/>
    <n v="0"/>
    <n v="269.45"/>
    <n v="213.27"/>
    <m/>
    <n v="421.14033355107131"/>
    <n v="179.54706321936715"/>
    <n v="0"/>
    <n v="141864.8861"/>
    <n v="112286.22846000001"/>
    <n v="0"/>
    <n v="221729.54333397196"/>
    <n v="94531.169690870374"/>
  </r>
  <r>
    <s v="Refaturamento - Regular"/>
    <x v="2"/>
    <x v="1"/>
    <x v="3"/>
    <x v="0"/>
    <x v="0"/>
    <x v="0"/>
    <x v="1"/>
    <x v="4"/>
    <n v="0"/>
    <n v="0"/>
    <n v="-0.33300000000000002"/>
    <n v="-0.33300000000000002"/>
    <n v="-0.33300000000000002"/>
    <n v="-0.33300000000000002"/>
    <n v="0"/>
    <x v="0"/>
    <n v="0"/>
    <n v="0"/>
    <n v="31"/>
    <n v="69"/>
    <n v="0"/>
    <n v="269.45"/>
    <n v="213.27"/>
    <m/>
    <n v="421.14033355107131"/>
    <n v="179.54706321936715"/>
    <n v="0"/>
    <n v="-89.726849999999999"/>
    <n v="-71.018910000000005"/>
    <n v="0"/>
    <n v="-140.23973107250674"/>
    <n v="-59.78917205204926"/>
  </r>
  <r>
    <s v="Sistema de Compensação"/>
    <x v="2"/>
    <x v="1"/>
    <x v="3"/>
    <x v="0"/>
    <x v="0"/>
    <x v="0"/>
    <x v="1"/>
    <x v="4"/>
    <n v="0"/>
    <n v="0"/>
    <n v="6.0789999999999997"/>
    <n v="6.0789999999999997"/>
    <n v="6.0789999999999997"/>
    <n v="6.0789999999999997"/>
    <n v="22"/>
    <x v="0"/>
    <n v="0"/>
    <n v="0"/>
    <n v="31"/>
    <n v="69"/>
    <n v="0"/>
    <n v="269.45"/>
    <n v="213.27"/>
    <m/>
    <n v="421.14033355107131"/>
    <n v="179.54706321936715"/>
    <n v="0"/>
    <n v="1637.9865499999999"/>
    <n v="1296.4683299999999"/>
    <n v="0"/>
    <n v="2560.1120876569626"/>
    <n v="1091.4665973105327"/>
  </r>
  <r>
    <s v="Regular"/>
    <x v="2"/>
    <x v="1"/>
    <x v="3"/>
    <x v="0"/>
    <x v="0"/>
    <x v="0"/>
    <x v="1"/>
    <x v="5"/>
    <n v="0"/>
    <n v="0"/>
    <n v="527.05999999999995"/>
    <n v="527.05999999999995"/>
    <n v="527.05999999999995"/>
    <n v="527.05999999999995"/>
    <n v="1666"/>
    <x v="0"/>
    <n v="0"/>
    <n v="0"/>
    <n v="31"/>
    <n v="69"/>
    <n v="0"/>
    <n v="269.45"/>
    <n v="213.27"/>
    <m/>
    <n v="421.14033355107131"/>
    <n v="179.54706321936715"/>
    <n v="0"/>
    <n v="142016.31699999998"/>
    <n v="112406.08619999999"/>
    <n v="0"/>
    <n v="221966.22420142763"/>
    <n v="94632.07514039964"/>
  </r>
  <r>
    <s v="Refaturamento - Regular"/>
    <x v="2"/>
    <x v="1"/>
    <x v="3"/>
    <x v="0"/>
    <x v="0"/>
    <x v="0"/>
    <x v="1"/>
    <x v="5"/>
    <n v="0"/>
    <n v="0"/>
    <n v="-2.5049999999999999"/>
    <n v="-2.5049999999999999"/>
    <n v="-2.5049999999999999"/>
    <n v="-2.5049999999999999"/>
    <n v="0"/>
    <x v="0"/>
    <n v="0"/>
    <n v="0"/>
    <n v="31"/>
    <n v="69"/>
    <n v="0"/>
    <n v="269.45"/>
    <n v="213.27"/>
    <m/>
    <n v="421.14033355107131"/>
    <n v="179.54706321936715"/>
    <n v="0"/>
    <n v="-674.97224999999992"/>
    <n v="-534.24135000000001"/>
    <n v="0"/>
    <n v="-1054.9565355454336"/>
    <n v="-449.76539336451469"/>
  </r>
  <r>
    <s v="Sistema de Compensação"/>
    <x v="2"/>
    <x v="1"/>
    <x v="3"/>
    <x v="0"/>
    <x v="0"/>
    <x v="0"/>
    <x v="1"/>
    <x v="5"/>
    <n v="0"/>
    <n v="0"/>
    <n v="2.11"/>
    <n v="2.11"/>
    <n v="2.11"/>
    <n v="2.11"/>
    <n v="19"/>
    <x v="0"/>
    <n v="0"/>
    <n v="0"/>
    <n v="31"/>
    <n v="69"/>
    <n v="0"/>
    <n v="269.45"/>
    <n v="213.27"/>
    <m/>
    <n v="421.14033355107131"/>
    <n v="179.54706321936715"/>
    <n v="0"/>
    <n v="568.53949999999998"/>
    <n v="449.99970000000002"/>
    <n v="0"/>
    <n v="888.60610379276045"/>
    <n v="378.84430339286467"/>
  </r>
  <r>
    <s v="Regular"/>
    <x v="2"/>
    <x v="1"/>
    <x v="3"/>
    <x v="0"/>
    <x v="0"/>
    <x v="0"/>
    <x v="1"/>
    <x v="6"/>
    <n v="0"/>
    <n v="0"/>
    <n v="463.68700000000001"/>
    <n v="463.68700000000001"/>
    <n v="463.68700000000001"/>
    <n v="463.68700000000001"/>
    <n v="1623"/>
    <x v="0"/>
    <n v="0"/>
    <n v="0"/>
    <n v="31"/>
    <n v="69"/>
    <n v="0"/>
    <n v="269.45"/>
    <n v="213.27"/>
    <m/>
    <n v="421.14033355107131"/>
    <n v="179.54706321936715"/>
    <n v="0"/>
    <n v="124940.46214999999"/>
    <n v="98890.526490000004"/>
    <n v="0"/>
    <n v="195277.29784329562"/>
    <n v="83253.639102998699"/>
  </r>
  <r>
    <s v="Refaturamento - Regular"/>
    <x v="2"/>
    <x v="1"/>
    <x v="3"/>
    <x v="0"/>
    <x v="0"/>
    <x v="0"/>
    <x v="1"/>
    <x v="6"/>
    <n v="0"/>
    <n v="0"/>
    <n v="-0.53400000000000003"/>
    <n v="-0.53400000000000003"/>
    <n v="-0.53400000000000003"/>
    <n v="-0.53400000000000003"/>
    <n v="0"/>
    <x v="0"/>
    <n v="0"/>
    <n v="0"/>
    <n v="31"/>
    <n v="69"/>
    <n v="0"/>
    <n v="269.45"/>
    <n v="213.27"/>
    <m/>
    <n v="421.14033355107131"/>
    <n v="179.54706321936715"/>
    <n v="0"/>
    <n v="-143.88630000000001"/>
    <n v="-113.88618000000001"/>
    <n v="0"/>
    <n v="-224.8889381162721"/>
    <n v="-95.878131759142065"/>
  </r>
  <r>
    <s v="Sistema de Compensação"/>
    <x v="2"/>
    <x v="1"/>
    <x v="3"/>
    <x v="0"/>
    <x v="0"/>
    <x v="0"/>
    <x v="1"/>
    <x v="6"/>
    <n v="0"/>
    <n v="0"/>
    <n v="2.7160000000000002"/>
    <n v="2.7160000000000002"/>
    <n v="2.7160000000000002"/>
    <n v="2.7160000000000002"/>
    <n v="19"/>
    <x v="0"/>
    <n v="0"/>
    <n v="0"/>
    <n v="31"/>
    <n v="69"/>
    <n v="0"/>
    <n v="269.45"/>
    <n v="213.27"/>
    <m/>
    <n v="421.14033355107131"/>
    <n v="179.54706321936715"/>
    <n v="0"/>
    <n v="731.82619999999997"/>
    <n v="579.24132000000009"/>
    <n v="0"/>
    <n v="1143.8171459247098"/>
    <n v="487.64982370380119"/>
  </r>
  <r>
    <s v="Regular"/>
    <x v="2"/>
    <x v="1"/>
    <x v="3"/>
    <x v="0"/>
    <x v="0"/>
    <x v="0"/>
    <x v="1"/>
    <x v="7"/>
    <n v="0"/>
    <n v="0"/>
    <n v="504.02499999999998"/>
    <n v="504.02499999999998"/>
    <n v="504.02499999999998"/>
    <n v="504.02499999999998"/>
    <n v="1584"/>
    <x v="0"/>
    <n v="0"/>
    <n v="0"/>
    <n v="31"/>
    <n v="69"/>
    <n v="0"/>
    <n v="269.45"/>
    <n v="213.27"/>
    <m/>
    <n v="421.14033355107131"/>
    <n v="179.54706321936715"/>
    <n v="0"/>
    <n v="135809.53624999998"/>
    <n v="107493.41175"/>
    <n v="0"/>
    <n v="212265.25661807871"/>
    <n v="90496.208539141517"/>
  </r>
  <r>
    <s v="Refaturamento - Regular"/>
    <x v="2"/>
    <x v="1"/>
    <x v="3"/>
    <x v="0"/>
    <x v="0"/>
    <x v="0"/>
    <x v="1"/>
    <x v="7"/>
    <n v="0"/>
    <n v="0"/>
    <n v="-0.1"/>
    <n v="-0.1"/>
    <n v="-0.1"/>
    <n v="-0.1"/>
    <n v="0"/>
    <x v="0"/>
    <n v="0"/>
    <n v="0"/>
    <n v="31"/>
    <n v="69"/>
    <n v="0"/>
    <n v="269.45"/>
    <n v="213.27"/>
    <m/>
    <n v="421.14033355107131"/>
    <n v="179.54706321936715"/>
    <n v="0"/>
    <n v="-26.945"/>
    <n v="-21.327000000000002"/>
    <n v="0"/>
    <n v="-42.114033355107132"/>
    <n v="-17.954706321936715"/>
  </r>
  <r>
    <s v="Sistema de Compensação"/>
    <x v="2"/>
    <x v="1"/>
    <x v="3"/>
    <x v="0"/>
    <x v="0"/>
    <x v="0"/>
    <x v="1"/>
    <x v="7"/>
    <n v="0"/>
    <n v="0"/>
    <n v="3.0870000000000002"/>
    <n v="3.0870000000000002"/>
    <n v="3.0870000000000002"/>
    <n v="3.0870000000000002"/>
    <n v="21"/>
    <x v="0"/>
    <n v="0"/>
    <n v="0"/>
    <n v="31"/>
    <n v="69"/>
    <n v="0"/>
    <n v="269.45"/>
    <n v="213.27"/>
    <m/>
    <n v="421.14033355107131"/>
    <n v="179.54706321936715"/>
    <n v="0"/>
    <n v="831.79214999999999"/>
    <n v="658.36449000000005"/>
    <n v="0"/>
    <n v="1300.0602096721573"/>
    <n v="554.2617841581864"/>
  </r>
  <r>
    <s v="Regular"/>
    <x v="2"/>
    <x v="1"/>
    <x v="3"/>
    <x v="0"/>
    <x v="0"/>
    <x v="0"/>
    <x v="1"/>
    <x v="8"/>
    <n v="0"/>
    <n v="0"/>
    <n v="404.67"/>
    <n v="404.67"/>
    <n v="404.67"/>
    <n v="404.67"/>
    <n v="1557"/>
    <x v="0"/>
    <n v="0"/>
    <n v="0"/>
    <n v="31"/>
    <n v="69"/>
    <n v="0"/>
    <n v="269.45"/>
    <n v="213.27"/>
    <m/>
    <n v="421.14033355107131"/>
    <n v="179.54706321936715"/>
    <n v="0"/>
    <n v="109038.3315"/>
    <n v="86303.970900000015"/>
    <n v="0"/>
    <n v="170422.85877811204"/>
    <n v="72657.310072981301"/>
  </r>
  <r>
    <s v="Refaturamento - Regular"/>
    <x v="2"/>
    <x v="1"/>
    <x v="3"/>
    <x v="0"/>
    <x v="0"/>
    <x v="0"/>
    <x v="1"/>
    <x v="8"/>
    <n v="0"/>
    <n v="0"/>
    <n v="-0.159"/>
    <n v="-0.159"/>
    <n v="-0.159"/>
    <n v="-0.159"/>
    <n v="0"/>
    <x v="0"/>
    <n v="0"/>
    <n v="0"/>
    <n v="31"/>
    <n v="69"/>
    <n v="0"/>
    <n v="269.45"/>
    <n v="213.27"/>
    <m/>
    <n v="421.14033355107131"/>
    <n v="179.54706321936715"/>
    <n v="0"/>
    <n v="-42.842549999999996"/>
    <n v="-33.909930000000003"/>
    <n v="0"/>
    <n v="-66.961313034620332"/>
    <n v="-28.547983051879378"/>
  </r>
  <r>
    <s v="Sistema de Compensação"/>
    <x v="2"/>
    <x v="1"/>
    <x v="3"/>
    <x v="0"/>
    <x v="0"/>
    <x v="0"/>
    <x v="1"/>
    <x v="8"/>
    <n v="0"/>
    <n v="0"/>
    <n v="4.9390000000000001"/>
    <n v="4.9390000000000001"/>
    <n v="4.9390000000000001"/>
    <n v="4.9390000000000001"/>
    <n v="21"/>
    <x v="0"/>
    <n v="0"/>
    <n v="0"/>
    <n v="31"/>
    <n v="69"/>
    <n v="0"/>
    <n v="269.45"/>
    <n v="213.27"/>
    <m/>
    <n v="421.14033355107131"/>
    <n v="179.54706321936715"/>
    <n v="0"/>
    <n v="1330.8135499999999"/>
    <n v="1053.3405300000002"/>
    <n v="0"/>
    <n v="2080.012107408741"/>
    <n v="886.7829452404543"/>
  </r>
  <r>
    <s v="Regular"/>
    <x v="2"/>
    <x v="1"/>
    <x v="3"/>
    <x v="0"/>
    <x v="0"/>
    <x v="0"/>
    <x v="1"/>
    <x v="9"/>
    <n v="0"/>
    <n v="0"/>
    <n v="383.12400000000002"/>
    <n v="383.12400000000002"/>
    <n v="383.12400000000002"/>
    <n v="383.12400000000002"/>
    <n v="1543"/>
    <x v="0"/>
    <n v="0"/>
    <n v="0"/>
    <n v="31"/>
    <n v="69"/>
    <n v="0"/>
    <n v="269.45"/>
    <n v="213.27"/>
    <m/>
    <n v="421.14033355107131"/>
    <n v="179.54706321936715"/>
    <n v="0"/>
    <n v="103232.76180000001"/>
    <n v="81708.855480000013"/>
    <n v="0"/>
    <n v="161348.96915142066"/>
    <n v="68788.789048856823"/>
  </r>
  <r>
    <s v="Sistema de Compensação"/>
    <x v="2"/>
    <x v="1"/>
    <x v="3"/>
    <x v="0"/>
    <x v="0"/>
    <x v="0"/>
    <x v="1"/>
    <x v="9"/>
    <n v="0"/>
    <n v="0"/>
    <n v="7.4859999999999998"/>
    <n v="7.4859999999999998"/>
    <n v="7.4859999999999998"/>
    <n v="7.4859999999999998"/>
    <n v="22"/>
    <x v="0"/>
    <n v="0"/>
    <n v="0"/>
    <n v="31"/>
    <n v="69"/>
    <n v="0"/>
    <n v="269.45"/>
    <n v="213.27"/>
    <m/>
    <n v="421.14033355107131"/>
    <n v="179.54706321936715"/>
    <n v="0"/>
    <n v="2017.1026999999999"/>
    <n v="1596.5392200000001"/>
    <n v="0"/>
    <n v="3152.6565369633199"/>
    <n v="1344.0893152601825"/>
  </r>
  <r>
    <s v="Regular"/>
    <x v="2"/>
    <x v="1"/>
    <x v="3"/>
    <x v="0"/>
    <x v="0"/>
    <x v="0"/>
    <x v="1"/>
    <x v="10"/>
    <n v="0"/>
    <n v="0"/>
    <n v="348.16500000000002"/>
    <n v="348.16500000000002"/>
    <n v="348.16500000000002"/>
    <n v="348.16500000000002"/>
    <n v="1534"/>
    <x v="0"/>
    <n v="0"/>
    <n v="0"/>
    <n v="31"/>
    <n v="69"/>
    <n v="0"/>
    <n v="269.45"/>
    <n v="213.27"/>
    <m/>
    <n v="421.14033355107131"/>
    <n v="179.54706321936715"/>
    <n v="0"/>
    <n v="93813.059250000006"/>
    <n v="74253.149550000002"/>
    <n v="0"/>
    <n v="146626.32423080876"/>
    <n v="62512.003265770967"/>
  </r>
  <r>
    <s v="Refaturamento - Regular"/>
    <x v="2"/>
    <x v="1"/>
    <x v="3"/>
    <x v="0"/>
    <x v="0"/>
    <x v="0"/>
    <x v="1"/>
    <x v="10"/>
    <n v="0"/>
    <n v="0"/>
    <n v="-3.19"/>
    <n v="-3.19"/>
    <n v="-3.19"/>
    <n v="-3.19"/>
    <n v="0"/>
    <x v="0"/>
    <n v="0"/>
    <n v="0"/>
    <n v="31"/>
    <n v="69"/>
    <n v="0"/>
    <n v="269.45"/>
    <n v="213.27"/>
    <m/>
    <n v="421.14033355107131"/>
    <n v="179.54706321936715"/>
    <n v="0"/>
    <n v="-859.54549999999995"/>
    <n v="-680.33130000000006"/>
    <n v="0"/>
    <n v="-1343.4376640279174"/>
    <n v="-572.75513166978124"/>
  </r>
  <r>
    <s v="Sistema de Compensação"/>
    <x v="2"/>
    <x v="1"/>
    <x v="3"/>
    <x v="0"/>
    <x v="0"/>
    <x v="0"/>
    <x v="1"/>
    <x v="10"/>
    <n v="0"/>
    <n v="0"/>
    <n v="9.1839999999999993"/>
    <n v="9.1839999999999993"/>
    <n v="9.1839999999999993"/>
    <n v="9.1839999999999993"/>
    <n v="25"/>
    <x v="0"/>
    <n v="0"/>
    <n v="0"/>
    <n v="31"/>
    <n v="69"/>
    <n v="0"/>
    <n v="269.45"/>
    <n v="213.27"/>
    <m/>
    <n v="421.14033355107131"/>
    <n v="179.54706321936715"/>
    <n v="0"/>
    <n v="2474.6287999999995"/>
    <n v="1958.6716799999999"/>
    <n v="0"/>
    <n v="3867.7528233330386"/>
    <n v="1648.9602286066677"/>
  </r>
  <r>
    <s v="PROJETADO"/>
    <x v="2"/>
    <x v="1"/>
    <x v="3"/>
    <x v="0"/>
    <x v="0"/>
    <x v="0"/>
    <x v="1"/>
    <x v="11"/>
    <n v="0"/>
    <n v="0"/>
    <n v="348.16500000000002"/>
    <n v="348.16500000000002"/>
    <n v="348.16500000000002"/>
    <n v="348.16500000000002"/>
    <n v="1534"/>
    <x v="0"/>
    <n v="0"/>
    <n v="0"/>
    <n v="31"/>
    <n v="69"/>
    <n v="0"/>
    <n v="269.45"/>
    <n v="213.27"/>
    <m/>
    <n v="421.14033355107131"/>
    <n v="179.54706321936715"/>
    <n v="0"/>
    <n v="93813.059250000006"/>
    <n v="74253.149550000002"/>
    <n v="0"/>
    <n v="146626.32423080876"/>
    <n v="62512.003265770967"/>
  </r>
  <r>
    <s v="PROJETADO"/>
    <x v="2"/>
    <x v="1"/>
    <x v="3"/>
    <x v="0"/>
    <x v="0"/>
    <x v="0"/>
    <x v="1"/>
    <x v="11"/>
    <n v="0"/>
    <n v="0"/>
    <n v="-3.19"/>
    <n v="-3.19"/>
    <n v="-3.19"/>
    <n v="-3.19"/>
    <n v="0"/>
    <x v="0"/>
    <n v="0"/>
    <n v="0"/>
    <n v="31"/>
    <n v="69"/>
    <n v="0"/>
    <n v="269.45"/>
    <n v="213.27"/>
    <m/>
    <n v="421.14033355107131"/>
    <n v="179.54706321936715"/>
    <n v="0"/>
    <n v="-859.54549999999995"/>
    <n v="-680.33130000000006"/>
    <n v="0"/>
    <n v="-1343.4376640279174"/>
    <n v="-572.75513166978124"/>
  </r>
  <r>
    <s v="PROJETADO"/>
    <x v="2"/>
    <x v="1"/>
    <x v="3"/>
    <x v="0"/>
    <x v="0"/>
    <x v="0"/>
    <x v="1"/>
    <x v="11"/>
    <n v="0"/>
    <n v="0"/>
    <n v="9.1839999999999993"/>
    <n v="9.1839999999999993"/>
    <n v="9.1839999999999993"/>
    <n v="9.1839999999999993"/>
    <n v="25"/>
    <x v="0"/>
    <n v="0"/>
    <n v="0"/>
    <n v="31"/>
    <n v="69"/>
    <n v="0"/>
    <n v="269.45"/>
    <n v="213.27"/>
    <m/>
    <n v="421.14033355107131"/>
    <n v="179.54706321936715"/>
    <n v="0"/>
    <n v="2474.6287999999995"/>
    <n v="1958.6716799999999"/>
    <n v="0"/>
    <n v="3867.7528233330386"/>
    <n v="1648.9602286066677"/>
  </r>
  <r>
    <s v="Regular"/>
    <x v="3"/>
    <x v="2"/>
    <x v="0"/>
    <x v="0"/>
    <x v="0"/>
    <x v="0"/>
    <x v="0"/>
    <x v="0"/>
    <n v="0"/>
    <n v="0"/>
    <n v="0.54100000000000004"/>
    <n v="0.54100000000000004"/>
    <n v="0.54100000000000004"/>
    <n v="0.54100000000000004"/>
    <n v="0"/>
    <x v="0"/>
    <n v="0"/>
    <n v="0"/>
    <n v="45"/>
    <n v="83"/>
    <n v="0"/>
    <n v="233.35"/>
    <n v="242.35"/>
    <m/>
    <n v="341.52166134826473"/>
    <n v="191.00751406315655"/>
    <n v="0"/>
    <n v="126.24235"/>
    <n v="131.11135000000002"/>
    <n v="0"/>
    <n v="184.76321878941124"/>
    <n v="103.3350651081677"/>
  </r>
  <r>
    <s v="Regular"/>
    <x v="3"/>
    <x v="2"/>
    <x v="0"/>
    <x v="0"/>
    <x v="0"/>
    <x v="0"/>
    <x v="0"/>
    <x v="1"/>
    <n v="0"/>
    <n v="0"/>
    <n v="0.56000000000000005"/>
    <n v="0.56000000000000005"/>
    <n v="0.56000000000000005"/>
    <n v="0.56000000000000005"/>
    <n v="0"/>
    <x v="0"/>
    <n v="0"/>
    <n v="0"/>
    <n v="45"/>
    <n v="83"/>
    <n v="0"/>
    <n v="233.35"/>
    <n v="242.35"/>
    <m/>
    <n v="341.52166134826473"/>
    <n v="191.00751406315655"/>
    <n v="0"/>
    <n v="130.67600000000002"/>
    <n v="135.71600000000001"/>
    <n v="0"/>
    <n v="191.25213035502827"/>
    <n v="106.96420787536768"/>
  </r>
  <r>
    <s v="Regular"/>
    <x v="3"/>
    <x v="2"/>
    <x v="0"/>
    <x v="0"/>
    <x v="0"/>
    <x v="0"/>
    <x v="0"/>
    <x v="2"/>
    <n v="0"/>
    <n v="0"/>
    <n v="0.63"/>
    <n v="0.63"/>
    <n v="0.63"/>
    <n v="0.63"/>
    <n v="0"/>
    <x v="0"/>
    <n v="0"/>
    <n v="0"/>
    <n v="45"/>
    <n v="83"/>
    <n v="0"/>
    <n v="233.35"/>
    <n v="242.35"/>
    <m/>
    <n v="341.52166134826473"/>
    <n v="191.00751406315655"/>
    <n v="0"/>
    <n v="147.01050000000001"/>
    <n v="152.68049999999999"/>
    <n v="0"/>
    <n v="215.15864664940679"/>
    <n v="120.33473385978863"/>
  </r>
  <r>
    <s v="Regular"/>
    <x v="3"/>
    <x v="2"/>
    <x v="0"/>
    <x v="0"/>
    <x v="0"/>
    <x v="0"/>
    <x v="0"/>
    <x v="3"/>
    <n v="0"/>
    <n v="0"/>
    <n v="0.747"/>
    <n v="0.747"/>
    <n v="0.747"/>
    <n v="0.747"/>
    <n v="0"/>
    <x v="0"/>
    <n v="0"/>
    <n v="0"/>
    <n v="45"/>
    <n v="83"/>
    <n v="0"/>
    <n v="233.35"/>
    <n v="242.35"/>
    <m/>
    <n v="341.52166134826473"/>
    <n v="191.00751406315655"/>
    <n v="0"/>
    <n v="174.31244999999998"/>
    <n v="181.03545"/>
    <n v="0"/>
    <n v="255.11668102715376"/>
    <n v="142.68261300517793"/>
  </r>
  <r>
    <s v="Regular"/>
    <x v="3"/>
    <x v="2"/>
    <x v="0"/>
    <x v="0"/>
    <x v="0"/>
    <x v="0"/>
    <x v="0"/>
    <x v="4"/>
    <n v="0"/>
    <n v="0"/>
    <n v="0.86099999999999999"/>
    <n v="0.86099999999999999"/>
    <n v="0.86099999999999999"/>
    <n v="0.86099999999999999"/>
    <n v="0"/>
    <x v="0"/>
    <n v="0"/>
    <n v="0"/>
    <n v="45"/>
    <n v="83"/>
    <n v="0"/>
    <n v="233.35"/>
    <n v="242.35"/>
    <m/>
    <n v="341.52166134826473"/>
    <n v="191.00751406315655"/>
    <n v="0"/>
    <n v="200.91434999999998"/>
    <n v="208.66334999999998"/>
    <n v="0"/>
    <n v="294.05015042085591"/>
    <n v="164.45746960837778"/>
  </r>
  <r>
    <s v="Regular"/>
    <x v="3"/>
    <x v="2"/>
    <x v="0"/>
    <x v="0"/>
    <x v="0"/>
    <x v="0"/>
    <x v="0"/>
    <x v="5"/>
    <n v="0"/>
    <n v="0"/>
    <n v="1.2609999999999999"/>
    <n v="1.2609999999999999"/>
    <n v="1.2609999999999999"/>
    <n v="1.2609999999999999"/>
    <n v="0"/>
    <x v="0"/>
    <n v="0"/>
    <n v="0"/>
    <n v="45"/>
    <n v="83"/>
    <n v="0"/>
    <n v="233.35"/>
    <n v="242.35"/>
    <m/>
    <n v="341.52166134826473"/>
    <n v="191.00751406315655"/>
    <n v="0"/>
    <n v="294.25434999999999"/>
    <n v="305.60334999999998"/>
    <n v="0"/>
    <n v="430.65881496016181"/>
    <n v="240.86047523364039"/>
  </r>
  <r>
    <s v="Regular"/>
    <x v="3"/>
    <x v="2"/>
    <x v="0"/>
    <x v="0"/>
    <x v="0"/>
    <x v="0"/>
    <x v="0"/>
    <x v="6"/>
    <n v="0"/>
    <n v="0"/>
    <n v="0.97199999999999998"/>
    <n v="0.97199999999999998"/>
    <n v="0.97199999999999998"/>
    <n v="0.97199999999999998"/>
    <n v="0"/>
    <x v="0"/>
    <n v="0"/>
    <n v="0"/>
    <n v="45"/>
    <n v="83"/>
    <n v="0"/>
    <n v="233.35"/>
    <n v="242.35"/>
    <m/>
    <n v="341.52166134826473"/>
    <n v="191.00751406315655"/>
    <n v="0"/>
    <n v="226.81619999999998"/>
    <n v="235.5642"/>
    <n v="0"/>
    <n v="331.95905483051331"/>
    <n v="185.65930366938815"/>
  </r>
  <r>
    <s v="Regular"/>
    <x v="3"/>
    <x v="2"/>
    <x v="0"/>
    <x v="0"/>
    <x v="0"/>
    <x v="0"/>
    <x v="0"/>
    <x v="7"/>
    <n v="0"/>
    <n v="0"/>
    <n v="0.91200000000000003"/>
    <n v="0.91200000000000003"/>
    <n v="0.91200000000000003"/>
    <n v="0.91200000000000003"/>
    <n v="0"/>
    <x v="0"/>
    <n v="0"/>
    <n v="0"/>
    <n v="45"/>
    <n v="83"/>
    <n v="0"/>
    <n v="233.35"/>
    <n v="242.35"/>
    <m/>
    <n v="341.52166134826473"/>
    <n v="191.00751406315655"/>
    <n v="0"/>
    <n v="212.8152"/>
    <n v="221.0232"/>
    <n v="0"/>
    <n v="311.46775514961746"/>
    <n v="174.19885282559878"/>
  </r>
  <r>
    <s v="Regular"/>
    <x v="3"/>
    <x v="2"/>
    <x v="0"/>
    <x v="0"/>
    <x v="0"/>
    <x v="0"/>
    <x v="0"/>
    <x v="8"/>
    <n v="0"/>
    <n v="0"/>
    <n v="0.84199999999999997"/>
    <n v="0.84199999999999997"/>
    <n v="0.84199999999999997"/>
    <n v="0.84199999999999997"/>
    <n v="0"/>
    <x v="0"/>
    <n v="0"/>
    <n v="0"/>
    <n v="45"/>
    <n v="83"/>
    <n v="0"/>
    <n v="233.35"/>
    <n v="242.35"/>
    <m/>
    <n v="341.52166134826473"/>
    <n v="191.00751406315655"/>
    <n v="0"/>
    <n v="196.48069999999998"/>
    <n v="204.05869999999999"/>
    <n v="0"/>
    <n v="287.56123885523891"/>
    <n v="160.82832684117781"/>
  </r>
  <r>
    <s v="Regular"/>
    <x v="3"/>
    <x v="2"/>
    <x v="0"/>
    <x v="0"/>
    <x v="0"/>
    <x v="0"/>
    <x v="0"/>
    <x v="9"/>
    <n v="0"/>
    <n v="0"/>
    <n v="0.79100000000000004"/>
    <n v="0.79100000000000004"/>
    <n v="0.79100000000000004"/>
    <n v="0.79100000000000004"/>
    <n v="0"/>
    <x v="0"/>
    <n v="0"/>
    <n v="0"/>
    <n v="45"/>
    <n v="83"/>
    <n v="0"/>
    <n v="233.35"/>
    <n v="242.35"/>
    <m/>
    <n v="341.52166134826473"/>
    <n v="191.00751406315655"/>
    <n v="0"/>
    <n v="184.57984999999999"/>
    <n v="191.69884999999999"/>
    <n v="0"/>
    <n v="270.14363412647742"/>
    <n v="151.08694362395684"/>
  </r>
  <r>
    <s v="Regular"/>
    <x v="3"/>
    <x v="2"/>
    <x v="0"/>
    <x v="0"/>
    <x v="0"/>
    <x v="0"/>
    <x v="0"/>
    <x v="10"/>
    <n v="0"/>
    <n v="0"/>
    <n v="0.74099999999999999"/>
    <n v="0.74099999999999999"/>
    <n v="0.74099999999999999"/>
    <n v="0.74099999999999999"/>
    <n v="0"/>
    <x v="0"/>
    <n v="0"/>
    <n v="0"/>
    <n v="45"/>
    <n v="83"/>
    <n v="0"/>
    <n v="233.35"/>
    <n v="242.35"/>
    <m/>
    <n v="341.52166134826473"/>
    <n v="191.00751406315655"/>
    <n v="0"/>
    <n v="172.91235"/>
    <n v="179.58134999999999"/>
    <n v="0"/>
    <n v="253.06755105906416"/>
    <n v="141.536567920799"/>
  </r>
  <r>
    <s v="PROJETADO"/>
    <x v="3"/>
    <x v="2"/>
    <x v="0"/>
    <x v="0"/>
    <x v="0"/>
    <x v="0"/>
    <x v="0"/>
    <x v="11"/>
    <n v="0"/>
    <n v="0"/>
    <n v="0.74099999999999999"/>
    <n v="0.74099999999999999"/>
    <n v="0.74099999999999999"/>
    <n v="0.74099999999999999"/>
    <n v="0"/>
    <x v="0"/>
    <n v="0"/>
    <n v="0"/>
    <n v="45"/>
    <n v="83"/>
    <n v="0"/>
    <n v="233.35"/>
    <n v="242.35"/>
    <m/>
    <n v="341.52166134826473"/>
    <n v="191.00751406315655"/>
    <n v="0"/>
    <n v="172.91235"/>
    <n v="179.58134999999999"/>
    <n v="0"/>
    <n v="253.06755105906416"/>
    <n v="141.536567920799"/>
  </r>
  <r>
    <s v="Regular"/>
    <x v="3"/>
    <x v="2"/>
    <x v="0"/>
    <x v="0"/>
    <x v="0"/>
    <x v="0"/>
    <x v="3"/>
    <x v="0"/>
    <n v="0"/>
    <n v="0"/>
    <n v="3.2000000000000001E-2"/>
    <n v="3.2000000000000001E-2"/>
    <n v="3.2000000000000001E-2"/>
    <n v="3.2000000000000001E-2"/>
    <n v="0"/>
    <x v="0"/>
    <n v="0"/>
    <n v="0"/>
    <n v="44"/>
    <n v="82"/>
    <n v="0"/>
    <n v="557.55999999999995"/>
    <n v="242.35"/>
    <m/>
    <n v="815.58223086282692"/>
    <n v="191.00751406315655"/>
    <n v="0"/>
    <n v="17.841919999999998"/>
    <n v="7.7552000000000003"/>
    <n v="0"/>
    <n v="26.09863138761046"/>
    <n v="6.1122404500210097"/>
  </r>
  <r>
    <s v="Regular"/>
    <x v="3"/>
    <x v="2"/>
    <x v="0"/>
    <x v="0"/>
    <x v="0"/>
    <x v="0"/>
    <x v="3"/>
    <x v="1"/>
    <n v="0"/>
    <n v="0"/>
    <n v="3.5000000000000003E-2"/>
    <n v="3.5000000000000003E-2"/>
    <n v="3.5000000000000003E-2"/>
    <n v="3.5000000000000003E-2"/>
    <n v="0"/>
    <x v="0"/>
    <n v="0"/>
    <n v="0"/>
    <n v="44"/>
    <n v="82"/>
    <n v="0"/>
    <n v="557.55999999999995"/>
    <n v="242.35"/>
    <m/>
    <n v="815.58223086282692"/>
    <n v="191.00751406315655"/>
    <n v="0"/>
    <n v="19.514600000000002"/>
    <n v="8.4822500000000005"/>
    <n v="0"/>
    <n v="28.545378080198944"/>
    <n v="6.6852629922104798"/>
  </r>
  <r>
    <s v="Regular"/>
    <x v="3"/>
    <x v="2"/>
    <x v="0"/>
    <x v="0"/>
    <x v="0"/>
    <x v="0"/>
    <x v="3"/>
    <x v="2"/>
    <n v="0"/>
    <n v="0"/>
    <n v="3.4000000000000002E-2"/>
    <n v="3.4000000000000002E-2"/>
    <n v="3.4000000000000002E-2"/>
    <n v="3.4000000000000002E-2"/>
    <n v="0"/>
    <x v="0"/>
    <n v="0"/>
    <n v="0"/>
    <n v="44"/>
    <n v="82"/>
    <n v="0"/>
    <n v="557.55999999999995"/>
    <n v="242.35"/>
    <m/>
    <n v="815.58223086282692"/>
    <n v="191.00751406315655"/>
    <n v="0"/>
    <n v="18.957039999999999"/>
    <n v="8.2399000000000004"/>
    <n v="0"/>
    <n v="27.729795849336117"/>
    <n v="6.4942554781473234"/>
  </r>
  <r>
    <s v="Regular"/>
    <x v="3"/>
    <x v="2"/>
    <x v="0"/>
    <x v="0"/>
    <x v="0"/>
    <x v="0"/>
    <x v="3"/>
    <x v="3"/>
    <n v="0"/>
    <n v="0"/>
    <n v="3.7999999999999999E-2"/>
    <n v="3.7999999999999999E-2"/>
    <n v="3.7999999999999999E-2"/>
    <n v="3.7999999999999999E-2"/>
    <n v="0"/>
    <x v="0"/>
    <n v="0"/>
    <n v="0"/>
    <n v="44"/>
    <n v="82"/>
    <n v="0"/>
    <n v="557.55999999999995"/>
    <n v="242.35"/>
    <m/>
    <n v="815.58223086282692"/>
    <n v="191.00751406315655"/>
    <n v="0"/>
    <n v="21.187279999999998"/>
    <n v="9.2092999999999989"/>
    <n v="0"/>
    <n v="30.992124772787424"/>
    <n v="7.2582855343999491"/>
  </r>
  <r>
    <s v="Regular"/>
    <x v="3"/>
    <x v="2"/>
    <x v="0"/>
    <x v="0"/>
    <x v="0"/>
    <x v="0"/>
    <x v="3"/>
    <x v="4"/>
    <n v="0"/>
    <n v="0"/>
    <n v="0.05"/>
    <n v="0.05"/>
    <n v="0.05"/>
    <n v="0.05"/>
    <n v="0"/>
    <x v="0"/>
    <n v="0"/>
    <n v="0"/>
    <n v="44"/>
    <n v="82"/>
    <n v="0"/>
    <n v="557.55999999999995"/>
    <n v="242.35"/>
    <m/>
    <n v="815.58223086282692"/>
    <n v="191.00751406315655"/>
    <n v="0"/>
    <n v="27.878"/>
    <n v="12.1175"/>
    <n v="0"/>
    <n v="40.779111543141347"/>
    <n v="9.5503757031578278"/>
  </r>
  <r>
    <s v="Regular"/>
    <x v="3"/>
    <x v="2"/>
    <x v="0"/>
    <x v="0"/>
    <x v="0"/>
    <x v="0"/>
    <x v="3"/>
    <x v="5"/>
    <n v="0"/>
    <n v="0"/>
    <n v="6.9000000000000006E-2"/>
    <n v="6.9000000000000006E-2"/>
    <n v="6.9000000000000006E-2"/>
    <n v="6.9000000000000006E-2"/>
    <n v="0"/>
    <x v="0"/>
    <n v="0"/>
    <n v="0"/>
    <n v="44"/>
    <n v="82"/>
    <n v="0"/>
    <n v="557.55999999999995"/>
    <n v="242.35"/>
    <m/>
    <n v="815.58223086282692"/>
    <n v="191.00751406315655"/>
    <n v="0"/>
    <n v="38.471640000000001"/>
    <n v="16.722150000000003"/>
    <n v="0"/>
    <n v="56.275173929535065"/>
    <n v="13.179518470357802"/>
  </r>
  <r>
    <s v="Regular"/>
    <x v="3"/>
    <x v="2"/>
    <x v="0"/>
    <x v="0"/>
    <x v="0"/>
    <x v="0"/>
    <x v="3"/>
    <x v="6"/>
    <n v="0"/>
    <n v="0"/>
    <n v="5.1999999999999998E-2"/>
    <n v="5.1999999999999998E-2"/>
    <n v="5.1999999999999998E-2"/>
    <n v="5.1999999999999998E-2"/>
    <n v="0"/>
    <x v="0"/>
    <n v="0"/>
    <n v="0"/>
    <n v="44"/>
    <n v="82"/>
    <n v="0"/>
    <n v="557.55999999999995"/>
    <n v="242.35"/>
    <m/>
    <n v="815.58223086282692"/>
    <n v="191.00751406315655"/>
    <n v="0"/>
    <n v="28.993119999999998"/>
    <n v="12.6022"/>
    <n v="0"/>
    <n v="42.410276004867001"/>
    <n v="9.9323907312841406"/>
  </r>
  <r>
    <s v="Regular"/>
    <x v="3"/>
    <x v="2"/>
    <x v="0"/>
    <x v="0"/>
    <x v="0"/>
    <x v="0"/>
    <x v="3"/>
    <x v="7"/>
    <n v="0"/>
    <n v="0"/>
    <n v="5.7000000000000002E-2"/>
    <n v="5.7000000000000002E-2"/>
    <n v="5.7000000000000002E-2"/>
    <n v="5.7000000000000002E-2"/>
    <n v="0"/>
    <x v="0"/>
    <n v="0"/>
    <n v="0"/>
    <n v="44"/>
    <n v="82"/>
    <n v="0"/>
    <n v="557.55999999999995"/>
    <n v="242.35"/>
    <m/>
    <n v="815.58223086282692"/>
    <n v="191.00751406315655"/>
    <n v="0"/>
    <n v="31.780919999999998"/>
    <n v="13.81395"/>
    <n v="0"/>
    <n v="46.488187159181138"/>
    <n v="10.887428301599924"/>
  </r>
  <r>
    <s v="Regular"/>
    <x v="3"/>
    <x v="2"/>
    <x v="0"/>
    <x v="0"/>
    <x v="0"/>
    <x v="0"/>
    <x v="3"/>
    <x v="8"/>
    <n v="0"/>
    <n v="0"/>
    <n v="5.1999999999999998E-2"/>
    <n v="5.1999999999999998E-2"/>
    <n v="5.1999999999999998E-2"/>
    <n v="5.1999999999999998E-2"/>
    <n v="0"/>
    <x v="0"/>
    <n v="0"/>
    <n v="0"/>
    <n v="44"/>
    <n v="82"/>
    <n v="0"/>
    <n v="557.55999999999995"/>
    <n v="242.35"/>
    <m/>
    <n v="815.58223086282692"/>
    <n v="191.00751406315655"/>
    <n v="0"/>
    <n v="28.993119999999998"/>
    <n v="12.6022"/>
    <n v="0"/>
    <n v="42.410276004867001"/>
    <n v="9.9323907312841406"/>
  </r>
  <r>
    <s v="Regular"/>
    <x v="3"/>
    <x v="2"/>
    <x v="0"/>
    <x v="0"/>
    <x v="0"/>
    <x v="0"/>
    <x v="3"/>
    <x v="9"/>
    <n v="0"/>
    <n v="0"/>
    <n v="5.1999999999999998E-2"/>
    <n v="5.1999999999999998E-2"/>
    <n v="5.1999999999999998E-2"/>
    <n v="5.1999999999999998E-2"/>
    <n v="0"/>
    <x v="0"/>
    <n v="0"/>
    <n v="0"/>
    <n v="44"/>
    <n v="82"/>
    <n v="0"/>
    <n v="557.55999999999995"/>
    <n v="242.35"/>
    <m/>
    <n v="815.58223086282692"/>
    <n v="191.00751406315655"/>
    <n v="0"/>
    <n v="28.993119999999998"/>
    <n v="12.6022"/>
    <n v="0"/>
    <n v="42.410276004867001"/>
    <n v="9.9323907312841406"/>
  </r>
  <r>
    <s v="Regular"/>
    <x v="3"/>
    <x v="2"/>
    <x v="0"/>
    <x v="0"/>
    <x v="0"/>
    <x v="0"/>
    <x v="3"/>
    <x v="10"/>
    <n v="0"/>
    <n v="0"/>
    <n v="5.1999999999999998E-2"/>
    <n v="5.1999999999999998E-2"/>
    <n v="5.1999999999999998E-2"/>
    <n v="5.1999999999999998E-2"/>
    <n v="0"/>
    <x v="0"/>
    <n v="0"/>
    <n v="0"/>
    <n v="44"/>
    <n v="82"/>
    <n v="0"/>
    <n v="557.55999999999995"/>
    <n v="242.35"/>
    <m/>
    <n v="815.58223086282692"/>
    <n v="191.00751406315655"/>
    <n v="0"/>
    <n v="28.993119999999998"/>
    <n v="12.6022"/>
    <n v="0"/>
    <n v="42.410276004867001"/>
    <n v="9.9323907312841406"/>
  </r>
  <r>
    <s v="PROJETADO"/>
    <x v="3"/>
    <x v="2"/>
    <x v="0"/>
    <x v="0"/>
    <x v="0"/>
    <x v="0"/>
    <x v="3"/>
    <x v="11"/>
    <n v="0"/>
    <n v="0"/>
    <n v="5.1999999999999998E-2"/>
    <n v="5.1999999999999998E-2"/>
    <n v="5.1999999999999998E-2"/>
    <n v="5.1999999999999998E-2"/>
    <n v="0"/>
    <x v="0"/>
    <n v="0"/>
    <n v="0"/>
    <n v="44"/>
    <n v="82"/>
    <n v="0"/>
    <n v="557.55999999999995"/>
    <n v="242.35"/>
    <m/>
    <n v="815.58223086282692"/>
    <n v="191.00751406315655"/>
    <n v="0"/>
    <n v="28.993119999999998"/>
    <n v="12.6022"/>
    <n v="0"/>
    <n v="42.410276004867001"/>
    <n v="9.9323907312841406"/>
  </r>
  <r>
    <s v="Regular"/>
    <x v="3"/>
    <x v="2"/>
    <x v="0"/>
    <x v="0"/>
    <x v="0"/>
    <x v="0"/>
    <x v="2"/>
    <x v="0"/>
    <n v="0"/>
    <n v="0"/>
    <n v="0.05"/>
    <n v="0.05"/>
    <n v="0.05"/>
    <n v="0.05"/>
    <n v="0"/>
    <x v="0"/>
    <n v="0"/>
    <n v="0"/>
    <n v="43"/>
    <n v="81"/>
    <n v="0"/>
    <n v="881.82"/>
    <n v="242.35"/>
    <m/>
    <n v="1289.7018082650229"/>
    <n v="191.00751406315655"/>
    <n v="0"/>
    <n v="44.091000000000008"/>
    <n v="12.1175"/>
    <n v="0"/>
    <n v="64.485090413251143"/>
    <n v="9.5503757031578278"/>
  </r>
  <r>
    <s v="Regular"/>
    <x v="3"/>
    <x v="2"/>
    <x v="0"/>
    <x v="0"/>
    <x v="0"/>
    <x v="0"/>
    <x v="2"/>
    <x v="1"/>
    <n v="0"/>
    <n v="0"/>
    <n v="5.1999999999999998E-2"/>
    <n v="5.1999999999999998E-2"/>
    <n v="5.1999999999999998E-2"/>
    <n v="5.1999999999999998E-2"/>
    <n v="0"/>
    <x v="0"/>
    <n v="0"/>
    <n v="0"/>
    <n v="43"/>
    <n v="81"/>
    <n v="0"/>
    <n v="881.82"/>
    <n v="242.35"/>
    <m/>
    <n v="1289.7018082650229"/>
    <n v="191.00751406315655"/>
    <n v="0"/>
    <n v="45.854640000000003"/>
    <n v="12.6022"/>
    <n v="0"/>
    <n v="67.064494029781187"/>
    <n v="9.9323907312841406"/>
  </r>
  <r>
    <s v="Regular"/>
    <x v="3"/>
    <x v="2"/>
    <x v="0"/>
    <x v="0"/>
    <x v="0"/>
    <x v="0"/>
    <x v="2"/>
    <x v="2"/>
    <n v="0"/>
    <n v="0"/>
    <n v="5.1999999999999998E-2"/>
    <n v="5.1999999999999998E-2"/>
    <n v="5.1999999999999998E-2"/>
    <n v="5.1999999999999998E-2"/>
    <n v="0"/>
    <x v="0"/>
    <n v="0"/>
    <n v="0"/>
    <n v="43"/>
    <n v="81"/>
    <n v="0"/>
    <n v="881.82"/>
    <n v="242.35"/>
    <m/>
    <n v="1289.7018082650229"/>
    <n v="191.00751406315655"/>
    <n v="0"/>
    <n v="45.854640000000003"/>
    <n v="12.6022"/>
    <n v="0"/>
    <n v="67.064494029781187"/>
    <n v="9.9323907312841406"/>
  </r>
  <r>
    <s v="Regular"/>
    <x v="3"/>
    <x v="2"/>
    <x v="0"/>
    <x v="0"/>
    <x v="0"/>
    <x v="0"/>
    <x v="2"/>
    <x v="3"/>
    <n v="0"/>
    <n v="0"/>
    <n v="5.7000000000000002E-2"/>
    <n v="5.7000000000000002E-2"/>
    <n v="5.7000000000000002E-2"/>
    <n v="5.7000000000000002E-2"/>
    <n v="0"/>
    <x v="0"/>
    <n v="0"/>
    <n v="0"/>
    <n v="43"/>
    <n v="81"/>
    <n v="0"/>
    <n v="881.82"/>
    <n v="242.35"/>
    <m/>
    <n v="1289.7018082650229"/>
    <n v="191.00751406315655"/>
    <n v="0"/>
    <n v="50.263740000000006"/>
    <n v="13.81395"/>
    <n v="0"/>
    <n v="73.513003071106311"/>
    <n v="10.887428301599924"/>
  </r>
  <r>
    <s v="Regular"/>
    <x v="3"/>
    <x v="2"/>
    <x v="0"/>
    <x v="0"/>
    <x v="0"/>
    <x v="0"/>
    <x v="2"/>
    <x v="4"/>
    <n v="0"/>
    <n v="0"/>
    <n v="7.4999999999999997E-2"/>
    <n v="7.4999999999999997E-2"/>
    <n v="7.4999999999999997E-2"/>
    <n v="7.4999999999999997E-2"/>
    <n v="0"/>
    <x v="0"/>
    <n v="0"/>
    <n v="0"/>
    <n v="43"/>
    <n v="81"/>
    <n v="0"/>
    <n v="881.82"/>
    <n v="242.35"/>
    <m/>
    <n v="1289.7018082650229"/>
    <n v="191.00751406315655"/>
    <n v="0"/>
    <n v="66.136499999999998"/>
    <n v="18.17625"/>
    <n v="0"/>
    <n v="96.727635619876722"/>
    <n v="14.325563554736741"/>
  </r>
  <r>
    <s v="Regular"/>
    <x v="3"/>
    <x v="2"/>
    <x v="0"/>
    <x v="0"/>
    <x v="0"/>
    <x v="0"/>
    <x v="2"/>
    <x v="5"/>
    <n v="0"/>
    <n v="0"/>
    <n v="0.106"/>
    <n v="0.106"/>
    <n v="0.106"/>
    <n v="0.106"/>
    <n v="0"/>
    <x v="0"/>
    <n v="0"/>
    <n v="0"/>
    <n v="43"/>
    <n v="81"/>
    <n v="0"/>
    <n v="881.82"/>
    <n v="242.35"/>
    <m/>
    <n v="1289.7018082650229"/>
    <n v="191.00751406315655"/>
    <n v="0"/>
    <n v="93.472920000000002"/>
    <n v="25.6891"/>
    <n v="0"/>
    <n v="136.70839167609242"/>
    <n v="20.246796490694592"/>
  </r>
  <r>
    <s v="Regular"/>
    <x v="3"/>
    <x v="2"/>
    <x v="0"/>
    <x v="0"/>
    <x v="0"/>
    <x v="0"/>
    <x v="2"/>
    <x v="6"/>
    <n v="0"/>
    <n v="0"/>
    <n v="7.4999999999999997E-2"/>
    <n v="7.4999999999999997E-2"/>
    <n v="7.4999999999999997E-2"/>
    <n v="7.4999999999999997E-2"/>
    <n v="0"/>
    <x v="0"/>
    <n v="0"/>
    <n v="0"/>
    <n v="43"/>
    <n v="81"/>
    <n v="0"/>
    <n v="881.82"/>
    <n v="242.35"/>
    <m/>
    <n v="1289.7018082650229"/>
    <n v="191.00751406315655"/>
    <n v="0"/>
    <n v="66.136499999999998"/>
    <n v="18.17625"/>
    <n v="0"/>
    <n v="96.727635619876722"/>
    <n v="14.325563554736741"/>
  </r>
  <r>
    <s v="Regular"/>
    <x v="3"/>
    <x v="2"/>
    <x v="0"/>
    <x v="0"/>
    <x v="0"/>
    <x v="0"/>
    <x v="2"/>
    <x v="7"/>
    <n v="0"/>
    <n v="0"/>
    <n v="8.6999999999999994E-2"/>
    <n v="8.6999999999999994E-2"/>
    <n v="8.6999999999999994E-2"/>
    <n v="8.6999999999999994E-2"/>
    <n v="0"/>
    <x v="0"/>
    <n v="0"/>
    <n v="0"/>
    <n v="43"/>
    <n v="81"/>
    <n v="0"/>
    <n v="881.82"/>
    <n v="242.35"/>
    <m/>
    <n v="1289.7018082650229"/>
    <n v="191.00751406315655"/>
    <n v="0"/>
    <n v="76.718339999999998"/>
    <n v="21.084449999999997"/>
    <n v="0"/>
    <n v="112.20405731905699"/>
    <n v="16.61765372349462"/>
  </r>
  <r>
    <s v="Regular"/>
    <x v="3"/>
    <x v="2"/>
    <x v="0"/>
    <x v="0"/>
    <x v="0"/>
    <x v="0"/>
    <x v="2"/>
    <x v="8"/>
    <n v="0"/>
    <n v="0"/>
    <n v="7.8E-2"/>
    <n v="7.8E-2"/>
    <n v="7.8E-2"/>
    <n v="7.8E-2"/>
    <n v="0"/>
    <x v="0"/>
    <n v="0"/>
    <n v="0"/>
    <n v="43"/>
    <n v="81"/>
    <n v="0"/>
    <n v="881.82"/>
    <n v="242.35"/>
    <m/>
    <n v="1289.7018082650229"/>
    <n v="191.00751406315655"/>
    <n v="0"/>
    <n v="68.781959999999998"/>
    <n v="18.903299999999998"/>
    <n v="0"/>
    <n v="100.59674104467179"/>
    <n v="14.898586096926211"/>
  </r>
  <r>
    <s v="Regular"/>
    <x v="3"/>
    <x v="2"/>
    <x v="0"/>
    <x v="0"/>
    <x v="0"/>
    <x v="0"/>
    <x v="2"/>
    <x v="9"/>
    <n v="0"/>
    <n v="0"/>
    <n v="0.08"/>
    <n v="0.08"/>
    <n v="0.08"/>
    <n v="0.08"/>
    <n v="0"/>
    <x v="0"/>
    <n v="0"/>
    <n v="0"/>
    <n v="43"/>
    <n v="81"/>
    <n v="0"/>
    <n v="881.82"/>
    <n v="242.35"/>
    <m/>
    <n v="1289.7018082650229"/>
    <n v="191.00751406315655"/>
    <n v="0"/>
    <n v="70.545600000000007"/>
    <n v="19.388000000000002"/>
    <n v="0"/>
    <n v="103.17614466120183"/>
    <n v="15.280601125052524"/>
  </r>
  <r>
    <s v="Regular"/>
    <x v="3"/>
    <x v="2"/>
    <x v="0"/>
    <x v="0"/>
    <x v="0"/>
    <x v="0"/>
    <x v="2"/>
    <x v="10"/>
    <n v="0"/>
    <n v="0"/>
    <n v="7.8E-2"/>
    <n v="7.8E-2"/>
    <n v="7.8E-2"/>
    <n v="7.8E-2"/>
    <n v="0"/>
    <x v="0"/>
    <n v="0"/>
    <n v="0"/>
    <n v="43"/>
    <n v="81"/>
    <n v="0"/>
    <n v="881.82"/>
    <n v="242.35"/>
    <m/>
    <n v="1289.7018082650229"/>
    <n v="191.00751406315655"/>
    <n v="0"/>
    <n v="68.781959999999998"/>
    <n v="18.903299999999998"/>
    <n v="0"/>
    <n v="100.59674104467179"/>
    <n v="14.898586096926211"/>
  </r>
  <r>
    <s v="PROJETADO"/>
    <x v="3"/>
    <x v="2"/>
    <x v="0"/>
    <x v="0"/>
    <x v="0"/>
    <x v="0"/>
    <x v="2"/>
    <x v="11"/>
    <n v="0"/>
    <n v="0"/>
    <n v="7.8E-2"/>
    <n v="7.8E-2"/>
    <n v="7.8E-2"/>
    <n v="7.8E-2"/>
    <n v="0"/>
    <x v="0"/>
    <n v="0"/>
    <n v="0"/>
    <n v="43"/>
    <n v="81"/>
    <n v="0"/>
    <n v="881.82"/>
    <n v="242.35"/>
    <m/>
    <n v="1289.7018082650229"/>
    <n v="191.00751406315655"/>
    <n v="0"/>
    <n v="68.781959999999998"/>
    <n v="18.903299999999998"/>
    <n v="0"/>
    <n v="100.59674104467179"/>
    <n v="14.898586096926211"/>
  </r>
  <r>
    <s v="Regular"/>
    <x v="3"/>
    <x v="1"/>
    <x v="0"/>
    <x v="0"/>
    <x v="0"/>
    <x v="0"/>
    <x v="1"/>
    <x v="0"/>
    <n v="0"/>
    <n v="0"/>
    <n v="158.066"/>
    <n v="158.066"/>
    <n v="158.066"/>
    <n v="158.066"/>
    <n v="444"/>
    <x v="0"/>
    <n v="0"/>
    <n v="0"/>
    <n v="46"/>
    <n v="84"/>
    <n v="0"/>
    <n v="306.19"/>
    <n v="242.35"/>
    <m/>
    <n v="448.02163143730991"/>
    <n v="191.00751406315655"/>
    <n v="0"/>
    <n v="48398.228540000004"/>
    <n v="38307.295100000003"/>
    <n v="0"/>
    <n v="70816.987194769827"/>
    <n v="30191.793717906905"/>
  </r>
  <r>
    <s v="Sistema de Compensação"/>
    <x v="3"/>
    <x v="1"/>
    <x v="0"/>
    <x v="0"/>
    <x v="0"/>
    <x v="0"/>
    <x v="1"/>
    <x v="0"/>
    <n v="0"/>
    <n v="0"/>
    <n v="14.866"/>
    <n v="14.866"/>
    <n v="14.866"/>
    <n v="14.866"/>
    <n v="8"/>
    <x v="0"/>
    <n v="0"/>
    <n v="0"/>
    <n v="46"/>
    <n v="84"/>
    <n v="0"/>
    <n v="306.19"/>
    <n v="242.35"/>
    <m/>
    <n v="448.02163143730991"/>
    <n v="191.00751406315655"/>
    <n v="0"/>
    <n v="4551.8205399999997"/>
    <n v="3602.7750999999998"/>
    <n v="0"/>
    <n v="6660.2895729470492"/>
    <n v="2839.5177040628851"/>
  </r>
  <r>
    <s v="Regular"/>
    <x v="3"/>
    <x v="1"/>
    <x v="0"/>
    <x v="0"/>
    <x v="0"/>
    <x v="0"/>
    <x v="1"/>
    <x v="1"/>
    <n v="0"/>
    <n v="0"/>
    <n v="158.61799999999999"/>
    <n v="158.61799999999999"/>
    <n v="158.61799999999999"/>
    <n v="158.61799999999999"/>
    <n v="446"/>
    <x v="0"/>
    <n v="0"/>
    <n v="0"/>
    <n v="46"/>
    <n v="84"/>
    <n v="0"/>
    <n v="306.19"/>
    <n v="242.35"/>
    <m/>
    <n v="448.02163143730991"/>
    <n v="191.00751406315655"/>
    <n v="0"/>
    <n v="48567.245419999999"/>
    <n v="38441.0723"/>
    <n v="0"/>
    <n v="71064.29513532322"/>
    <n v="30297.229865669764"/>
  </r>
  <r>
    <s v="Refaturamento - Regular"/>
    <x v="3"/>
    <x v="1"/>
    <x v="0"/>
    <x v="0"/>
    <x v="0"/>
    <x v="0"/>
    <x v="1"/>
    <x v="1"/>
    <n v="0"/>
    <n v="0"/>
    <n v="0.97199999999999998"/>
    <n v="0.97199999999999998"/>
    <n v="0.97199999999999998"/>
    <n v="0.97199999999999998"/>
    <n v="0"/>
    <x v="0"/>
    <n v="0"/>
    <n v="0"/>
    <n v="46"/>
    <n v="84"/>
    <n v="0"/>
    <n v="306.19"/>
    <n v="242.35"/>
    <m/>
    <n v="448.02163143730991"/>
    <n v="191.00751406315655"/>
    <n v="0"/>
    <n v="297.61667999999997"/>
    <n v="235.5642"/>
    <n v="0"/>
    <n v="435.47702575706523"/>
    <n v="185.65930366938815"/>
  </r>
  <r>
    <s v="Sistema de Compensação"/>
    <x v="3"/>
    <x v="1"/>
    <x v="0"/>
    <x v="0"/>
    <x v="0"/>
    <x v="0"/>
    <x v="1"/>
    <x v="1"/>
    <n v="0"/>
    <n v="0"/>
    <n v="7.452"/>
    <n v="7.452"/>
    <n v="7.452"/>
    <n v="7.452"/>
    <n v="8"/>
    <x v="0"/>
    <n v="0"/>
    <n v="0"/>
    <n v="46"/>
    <n v="84"/>
    <n v="0"/>
    <n v="306.19"/>
    <n v="242.35"/>
    <m/>
    <n v="448.02163143730991"/>
    <n v="191.00751406315655"/>
    <n v="0"/>
    <n v="2281.7278799999999"/>
    <n v="1805.9921999999999"/>
    <n v="0"/>
    <n v="3338.6571974708336"/>
    <n v="1423.3879947986427"/>
  </r>
  <r>
    <s v="Regular"/>
    <x v="3"/>
    <x v="1"/>
    <x v="0"/>
    <x v="0"/>
    <x v="0"/>
    <x v="0"/>
    <x v="1"/>
    <x v="2"/>
    <n v="0"/>
    <n v="0"/>
    <n v="178.25899999999999"/>
    <n v="178.25899999999999"/>
    <n v="178.25899999999999"/>
    <n v="178.25899999999999"/>
    <n v="444"/>
    <x v="0"/>
    <n v="0"/>
    <n v="0"/>
    <n v="46"/>
    <n v="84"/>
    <n v="0"/>
    <n v="306.19"/>
    <n v="242.35"/>
    <m/>
    <n v="448.02163143730991"/>
    <n v="191.00751406315655"/>
    <n v="0"/>
    <n v="54581.123209999998"/>
    <n v="43201.068649999994"/>
    <n v="0"/>
    <n v="79863.887998383419"/>
    <n v="34048.808449384218"/>
  </r>
  <r>
    <s v="Sistema de Compensação"/>
    <x v="3"/>
    <x v="1"/>
    <x v="0"/>
    <x v="0"/>
    <x v="0"/>
    <x v="0"/>
    <x v="1"/>
    <x v="2"/>
    <n v="0"/>
    <n v="0"/>
    <n v="1.276"/>
    <n v="1.276"/>
    <n v="1.276"/>
    <n v="1.276"/>
    <n v="8"/>
    <x v="0"/>
    <n v="0"/>
    <n v="0"/>
    <n v="46"/>
    <n v="84"/>
    <n v="0"/>
    <n v="306.19"/>
    <n v="242.35"/>
    <m/>
    <n v="448.02163143730991"/>
    <n v="191.00751406315655"/>
    <n v="0"/>
    <n v="390.69844000000001"/>
    <n v="309.23860000000002"/>
    <n v="0"/>
    <n v="571.67560171400748"/>
    <n v="243.72558794458777"/>
  </r>
  <r>
    <s v="Regular"/>
    <x v="3"/>
    <x v="1"/>
    <x v="0"/>
    <x v="0"/>
    <x v="0"/>
    <x v="0"/>
    <x v="1"/>
    <x v="3"/>
    <n v="0"/>
    <n v="0"/>
    <n v="192.08699999999999"/>
    <n v="192.08699999999999"/>
    <n v="192.08699999999999"/>
    <n v="192.08699999999999"/>
    <n v="443"/>
    <x v="0"/>
    <n v="0"/>
    <n v="0"/>
    <n v="46"/>
    <n v="84"/>
    <n v="0"/>
    <n v="306.19"/>
    <n v="242.35"/>
    <m/>
    <n v="448.02163143730991"/>
    <n v="191.00751406315655"/>
    <n v="0"/>
    <n v="58815.11853"/>
    <n v="46552.284449999999"/>
    <n v="0"/>
    <n v="86059.131117898549"/>
    <n v="36690.060353849549"/>
  </r>
  <r>
    <s v="Sistema de Compensação"/>
    <x v="3"/>
    <x v="1"/>
    <x v="0"/>
    <x v="0"/>
    <x v="0"/>
    <x v="0"/>
    <x v="1"/>
    <x v="3"/>
    <n v="0"/>
    <n v="0"/>
    <n v="1.4910000000000001"/>
    <n v="1.4910000000000001"/>
    <n v="1.4910000000000001"/>
    <n v="1.4910000000000001"/>
    <n v="8"/>
    <x v="0"/>
    <n v="0"/>
    <n v="0"/>
    <n v="46"/>
    <n v="84"/>
    <n v="0"/>
    <n v="306.19"/>
    <n v="242.35"/>
    <m/>
    <n v="448.02163143730991"/>
    <n v="191.00751406315655"/>
    <n v="0"/>
    <n v="456.52929"/>
    <n v="361.34385000000003"/>
    <n v="0"/>
    <n v="668.00025247302915"/>
    <n v="284.79220346816641"/>
  </r>
  <r>
    <s v="Regular"/>
    <x v="3"/>
    <x v="1"/>
    <x v="0"/>
    <x v="0"/>
    <x v="0"/>
    <x v="0"/>
    <x v="1"/>
    <x v="4"/>
    <n v="0"/>
    <n v="0"/>
    <n v="195.72300000000001"/>
    <n v="195.72300000000001"/>
    <n v="195.72300000000001"/>
    <n v="195.72300000000001"/>
    <n v="444"/>
    <x v="0"/>
    <n v="0"/>
    <n v="0"/>
    <n v="46"/>
    <n v="84"/>
    <n v="0"/>
    <n v="306.19"/>
    <n v="242.35"/>
    <m/>
    <n v="448.02163143730991"/>
    <n v="191.00751406315655"/>
    <n v="0"/>
    <n v="59928.425370000004"/>
    <n v="47433.46905"/>
    <n v="0"/>
    <n v="87688.137769804613"/>
    <n v="37384.56367498319"/>
  </r>
  <r>
    <s v="Sistema de Compensação"/>
    <x v="3"/>
    <x v="1"/>
    <x v="0"/>
    <x v="0"/>
    <x v="0"/>
    <x v="0"/>
    <x v="1"/>
    <x v="4"/>
    <n v="0"/>
    <n v="0"/>
    <n v="2.5579999999999998"/>
    <n v="2.5579999999999998"/>
    <n v="2.5579999999999998"/>
    <n v="2.5579999999999998"/>
    <n v="8"/>
    <x v="0"/>
    <n v="0"/>
    <n v="0"/>
    <n v="46"/>
    <n v="84"/>
    <n v="0"/>
    <n v="306.19"/>
    <n v="242.35"/>
    <m/>
    <n v="448.02163143730991"/>
    <n v="191.00751406315655"/>
    <n v="0"/>
    <n v="783.23401999999999"/>
    <n v="619.93129999999996"/>
    <n v="0"/>
    <n v="1146.0393332166386"/>
    <n v="488.59722097355444"/>
  </r>
  <r>
    <s v="Regular"/>
    <x v="3"/>
    <x v="1"/>
    <x v="0"/>
    <x v="0"/>
    <x v="0"/>
    <x v="0"/>
    <x v="1"/>
    <x v="5"/>
    <n v="0"/>
    <n v="0"/>
    <n v="259.84300000000002"/>
    <n v="259.84300000000002"/>
    <n v="259.84300000000002"/>
    <n v="259.84300000000002"/>
    <n v="447"/>
    <x v="0"/>
    <n v="0"/>
    <n v="0"/>
    <n v="46"/>
    <n v="84"/>
    <n v="0"/>
    <n v="306.19"/>
    <n v="242.35"/>
    <m/>
    <n v="448.02163143730991"/>
    <n v="191.00751406315655"/>
    <n v="0"/>
    <n v="79561.328170000008"/>
    <n v="62972.951050000003"/>
    <n v="0"/>
    <n v="116415.28477756493"/>
    <n v="49631.965476712794"/>
  </r>
  <r>
    <s v="Refaturamento - Regular"/>
    <x v="3"/>
    <x v="1"/>
    <x v="0"/>
    <x v="0"/>
    <x v="0"/>
    <x v="0"/>
    <x v="1"/>
    <x v="5"/>
    <n v="0"/>
    <n v="0"/>
    <n v="-0.86299999999999999"/>
    <n v="-0.86299999999999999"/>
    <n v="-0.86299999999999999"/>
    <n v="-0.86299999999999999"/>
    <n v="0"/>
    <x v="0"/>
    <n v="0"/>
    <n v="0"/>
    <n v="46"/>
    <n v="84"/>
    <n v="0"/>
    <n v="306.19"/>
    <n v="242.35"/>
    <m/>
    <n v="448.02163143730991"/>
    <n v="191.00751406315655"/>
    <n v="0"/>
    <n v="-264.24196999999998"/>
    <n v="-209.14804999999998"/>
    <n v="0"/>
    <n v="-386.64266793039843"/>
    <n v="-164.8394846365041"/>
  </r>
  <r>
    <s v="Sistema de Compensação"/>
    <x v="3"/>
    <x v="1"/>
    <x v="0"/>
    <x v="0"/>
    <x v="0"/>
    <x v="0"/>
    <x v="1"/>
    <x v="5"/>
    <n v="0"/>
    <n v="0"/>
    <n v="6.4580000000000002"/>
    <n v="6.4580000000000002"/>
    <n v="6.4580000000000002"/>
    <n v="6.4580000000000002"/>
    <n v="7"/>
    <x v="0"/>
    <n v="0"/>
    <n v="0"/>
    <n v="46"/>
    <n v="84"/>
    <n v="0"/>
    <n v="306.19"/>
    <n v="242.35"/>
    <m/>
    <n v="448.02163143730991"/>
    <n v="191.00751406315655"/>
    <n v="0"/>
    <n v="1977.3750199999999"/>
    <n v="1565.0962999999999"/>
    <n v="0"/>
    <n v="2893.3236958221473"/>
    <n v="1233.5265258198651"/>
  </r>
  <r>
    <s v="Regular"/>
    <x v="3"/>
    <x v="1"/>
    <x v="0"/>
    <x v="0"/>
    <x v="0"/>
    <x v="0"/>
    <x v="1"/>
    <x v="6"/>
    <n v="0"/>
    <n v="0"/>
    <n v="210.20400000000001"/>
    <n v="210.20400000000001"/>
    <n v="210.20400000000001"/>
    <n v="210.20400000000001"/>
    <n v="447"/>
    <x v="0"/>
    <n v="0"/>
    <n v="0"/>
    <n v="46"/>
    <n v="84"/>
    <n v="0"/>
    <n v="306.19"/>
    <n v="242.35"/>
    <m/>
    <n v="448.02163143730991"/>
    <n v="191.00751406315655"/>
    <n v="0"/>
    <n v="64362.362760000004"/>
    <n v="50942.939400000003"/>
    <n v="0"/>
    <n v="94175.939014648291"/>
    <n v="40150.543486131763"/>
  </r>
  <r>
    <s v="Sistema de Compensação"/>
    <x v="3"/>
    <x v="1"/>
    <x v="0"/>
    <x v="0"/>
    <x v="0"/>
    <x v="0"/>
    <x v="1"/>
    <x v="6"/>
    <n v="0"/>
    <n v="0"/>
    <n v="3.919"/>
    <n v="3.919"/>
    <n v="3.919"/>
    <n v="3.919"/>
    <n v="7"/>
    <x v="0"/>
    <n v="0"/>
    <n v="0"/>
    <n v="46"/>
    <n v="84"/>
    <n v="0"/>
    <n v="306.19"/>
    <n v="242.35"/>
    <m/>
    <n v="448.02163143730991"/>
    <n v="191.00751406315655"/>
    <n v="0"/>
    <n v="1199.9586099999999"/>
    <n v="949.76964999999996"/>
    <n v="0"/>
    <n v="1755.7967736028174"/>
    <n v="748.55844761351057"/>
  </r>
  <r>
    <s v="Regular"/>
    <x v="3"/>
    <x v="1"/>
    <x v="0"/>
    <x v="0"/>
    <x v="0"/>
    <x v="0"/>
    <x v="1"/>
    <x v="7"/>
    <n v="0"/>
    <n v="0"/>
    <n v="179.47399999999999"/>
    <n v="179.47399999999999"/>
    <n v="179.47399999999999"/>
    <n v="179.47399999999999"/>
    <n v="447"/>
    <x v="0"/>
    <n v="0"/>
    <n v="0"/>
    <n v="46"/>
    <n v="84"/>
    <n v="0"/>
    <n v="306.19"/>
    <n v="242.35"/>
    <m/>
    <n v="448.02163143730991"/>
    <n v="191.00751406315655"/>
    <n v="0"/>
    <n v="54953.144059999999"/>
    <n v="43495.523899999993"/>
    <n v="0"/>
    <n v="80408.234280579753"/>
    <n v="34280.882578970959"/>
  </r>
  <r>
    <s v="Refaturamento - Regular"/>
    <x v="3"/>
    <x v="1"/>
    <x v="0"/>
    <x v="0"/>
    <x v="0"/>
    <x v="0"/>
    <x v="1"/>
    <x v="7"/>
    <n v="0"/>
    <n v="0"/>
    <n v="-0.34599999999999997"/>
    <n v="-0.34599999999999997"/>
    <n v="-0.34599999999999997"/>
    <n v="-0.34599999999999997"/>
    <n v="0"/>
    <x v="0"/>
    <n v="0"/>
    <n v="0"/>
    <n v="46"/>
    <n v="84"/>
    <n v="0"/>
    <n v="306.19"/>
    <n v="242.35"/>
    <m/>
    <n v="448.02163143730991"/>
    <n v="191.00751406315655"/>
    <n v="0"/>
    <n v="-105.94174"/>
    <n v="-83.853099999999998"/>
    <n v="0"/>
    <n v="-155.01548447730923"/>
    <n v="-66.08859986585216"/>
  </r>
  <r>
    <s v="Sistema de Compensação"/>
    <x v="3"/>
    <x v="1"/>
    <x v="0"/>
    <x v="0"/>
    <x v="0"/>
    <x v="0"/>
    <x v="1"/>
    <x v="7"/>
    <n v="0"/>
    <n v="0"/>
    <n v="2.3570000000000002"/>
    <n v="2.3570000000000002"/>
    <n v="2.3570000000000002"/>
    <n v="2.3570000000000002"/>
    <n v="7"/>
    <x v="0"/>
    <n v="0"/>
    <n v="0"/>
    <n v="46"/>
    <n v="84"/>
    <n v="0"/>
    <n v="306.19"/>
    <n v="242.35"/>
    <m/>
    <n v="448.02163143730991"/>
    <n v="191.00751406315655"/>
    <n v="0"/>
    <n v="721.68983000000003"/>
    <n v="571.21895000000006"/>
    <n v="0"/>
    <n v="1055.9869852977395"/>
    <n v="450.20471064686001"/>
  </r>
  <r>
    <s v="Regular"/>
    <x v="3"/>
    <x v="1"/>
    <x v="0"/>
    <x v="0"/>
    <x v="0"/>
    <x v="0"/>
    <x v="1"/>
    <x v="8"/>
    <n v="0"/>
    <n v="0"/>
    <n v="156.58600000000001"/>
    <n v="156.58600000000001"/>
    <n v="156.58600000000001"/>
    <n v="156.58600000000001"/>
    <n v="447"/>
    <x v="0"/>
    <n v="0"/>
    <n v="0"/>
    <n v="46"/>
    <n v="84"/>
    <n v="0"/>
    <n v="306.19"/>
    <n v="242.35"/>
    <m/>
    <n v="448.02163143730991"/>
    <n v="191.00751406315655"/>
    <n v="0"/>
    <n v="47945.067340000001"/>
    <n v="37948.617100000003"/>
    <n v="0"/>
    <n v="70153.91518024262"/>
    <n v="29909.102597093435"/>
  </r>
  <r>
    <s v="Sistema de Compensação"/>
    <x v="3"/>
    <x v="1"/>
    <x v="0"/>
    <x v="0"/>
    <x v="0"/>
    <x v="0"/>
    <x v="1"/>
    <x v="8"/>
    <n v="0"/>
    <n v="0"/>
    <n v="1.2909999999999999"/>
    <n v="1.2909999999999999"/>
    <n v="1.2909999999999999"/>
    <n v="1.2909999999999999"/>
    <n v="8"/>
    <x v="0"/>
    <n v="0"/>
    <n v="0"/>
    <n v="46"/>
    <n v="84"/>
    <n v="0"/>
    <n v="306.19"/>
    <n v="242.35"/>
    <m/>
    <n v="448.02163143730991"/>
    <n v="191.00751406315655"/>
    <n v="0"/>
    <n v="395.29128999999995"/>
    <n v="312.87384999999995"/>
    <n v="0"/>
    <n v="578.39592618556708"/>
    <n v="246.5907006555351"/>
  </r>
  <r>
    <s v="Regular"/>
    <x v="3"/>
    <x v="1"/>
    <x v="0"/>
    <x v="0"/>
    <x v="0"/>
    <x v="0"/>
    <x v="1"/>
    <x v="9"/>
    <n v="0"/>
    <n v="0"/>
    <n v="165.26300000000001"/>
    <n v="165.26300000000001"/>
    <n v="165.26300000000001"/>
    <n v="165.26300000000001"/>
    <n v="442"/>
    <x v="0"/>
    <n v="0"/>
    <n v="0"/>
    <n v="46"/>
    <n v="84"/>
    <n v="0"/>
    <n v="306.19"/>
    <n v="242.35"/>
    <m/>
    <n v="448.02163143730991"/>
    <n v="191.00751406315655"/>
    <n v="0"/>
    <n v="50601.877970000001"/>
    <n v="40051.48805"/>
    <n v="0"/>
    <n v="74041.39887622415"/>
    <n v="31566.474796619441"/>
  </r>
  <r>
    <s v="Sistema de Compensação"/>
    <x v="3"/>
    <x v="1"/>
    <x v="0"/>
    <x v="0"/>
    <x v="0"/>
    <x v="0"/>
    <x v="1"/>
    <x v="9"/>
    <n v="0"/>
    <n v="0"/>
    <n v="1.6359999999999999"/>
    <n v="1.6359999999999999"/>
    <n v="1.6359999999999999"/>
    <n v="1.6359999999999999"/>
    <n v="8"/>
    <x v="0"/>
    <n v="0"/>
    <n v="0"/>
    <n v="46"/>
    <n v="84"/>
    <n v="0"/>
    <n v="306.19"/>
    <n v="242.35"/>
    <m/>
    <n v="448.02163143730991"/>
    <n v="191.00751406315655"/>
    <n v="0"/>
    <n v="500.92683999999997"/>
    <n v="396.48459999999994"/>
    <n v="0"/>
    <n v="732.96338903143896"/>
    <n v="312.4882930073241"/>
  </r>
  <r>
    <s v="Regular"/>
    <x v="3"/>
    <x v="1"/>
    <x v="0"/>
    <x v="0"/>
    <x v="0"/>
    <x v="0"/>
    <x v="1"/>
    <x v="10"/>
    <n v="0"/>
    <n v="0"/>
    <n v="160.21700000000001"/>
    <n v="160.21700000000001"/>
    <n v="160.21700000000001"/>
    <n v="160.21700000000001"/>
    <n v="442"/>
    <x v="0"/>
    <n v="0"/>
    <n v="0"/>
    <n v="46"/>
    <n v="84"/>
    <n v="0"/>
    <n v="306.19"/>
    <n v="242.35"/>
    <m/>
    <n v="448.02163143730991"/>
    <n v="191.00751406315655"/>
    <n v="0"/>
    <n v="49056.843230000006"/>
    <n v="38828.589950000001"/>
    <n v="0"/>
    <n v="71780.681723991482"/>
    <n v="30602.650880656754"/>
  </r>
  <r>
    <s v="Sistema de Compensação"/>
    <x v="3"/>
    <x v="1"/>
    <x v="0"/>
    <x v="0"/>
    <x v="0"/>
    <x v="0"/>
    <x v="1"/>
    <x v="10"/>
    <n v="0"/>
    <n v="0"/>
    <n v="3.056"/>
    <n v="3.056"/>
    <n v="3.056"/>
    <n v="3.056"/>
    <n v="8"/>
    <x v="0"/>
    <n v="0"/>
    <n v="0"/>
    <n v="46"/>
    <n v="84"/>
    <n v="0"/>
    <n v="306.19"/>
    <n v="242.35"/>
    <m/>
    <n v="448.02163143730991"/>
    <n v="191.00751406315655"/>
    <n v="0"/>
    <n v="935.71663999999998"/>
    <n v="740.62159999999994"/>
    <n v="0"/>
    <n v="1369.1541056724191"/>
    <n v="583.71896297700641"/>
  </r>
  <r>
    <s v="PROJETADO"/>
    <x v="3"/>
    <x v="1"/>
    <x v="0"/>
    <x v="0"/>
    <x v="0"/>
    <x v="0"/>
    <x v="1"/>
    <x v="11"/>
    <n v="0"/>
    <n v="0"/>
    <n v="160.21700000000001"/>
    <n v="160.21700000000001"/>
    <n v="160.21700000000001"/>
    <n v="160.21700000000001"/>
    <n v="442"/>
    <x v="0"/>
    <n v="0"/>
    <n v="0"/>
    <n v="46"/>
    <n v="84"/>
    <n v="0"/>
    <n v="306.19"/>
    <n v="242.35"/>
    <m/>
    <n v="448.02163143730991"/>
    <n v="191.00751406315655"/>
    <n v="0"/>
    <n v="49056.843230000006"/>
    <n v="38828.589950000001"/>
    <n v="0"/>
    <n v="71780.681723991482"/>
    <n v="30602.650880656754"/>
  </r>
  <r>
    <s v="PROJETADO"/>
    <x v="3"/>
    <x v="1"/>
    <x v="0"/>
    <x v="0"/>
    <x v="0"/>
    <x v="0"/>
    <x v="1"/>
    <x v="11"/>
    <n v="0"/>
    <n v="0"/>
    <n v="3.056"/>
    <n v="3.056"/>
    <n v="3.056"/>
    <n v="3.056"/>
    <n v="8"/>
    <x v="0"/>
    <n v="0"/>
    <n v="0"/>
    <n v="46"/>
    <n v="84"/>
    <n v="0"/>
    <n v="306.19"/>
    <n v="242.35"/>
    <m/>
    <n v="448.02163143730991"/>
    <n v="191.00751406315655"/>
    <n v="0"/>
    <n v="935.71663999999998"/>
    <n v="740.62159999999994"/>
    <n v="0"/>
    <n v="1369.1541056724191"/>
    <n v="583.71896297700641"/>
  </r>
  <r>
    <s v="Regular"/>
    <x v="3"/>
    <x v="1"/>
    <x v="4"/>
    <x v="0"/>
    <x v="0"/>
    <x v="0"/>
    <x v="1"/>
    <x v="0"/>
    <n v="0"/>
    <n v="0"/>
    <n v="0.58699999999999997"/>
    <n v="0.58699999999999997"/>
    <n v="0.58699999999999997"/>
    <n v="0.58699999999999997"/>
    <n v="2"/>
    <x v="0"/>
    <n v="0"/>
    <n v="0"/>
    <n v="46"/>
    <n v="84"/>
    <n v="0"/>
    <n v="306.19"/>
    <n v="242.35"/>
    <m/>
    <n v="448.02163143730991"/>
    <n v="191.00751406315655"/>
    <n v="0"/>
    <n v="179.73353"/>
    <n v="142.25944999999999"/>
    <n v="0"/>
    <n v="262.98869765370091"/>
    <n v="112.12141075507289"/>
  </r>
  <r>
    <s v="Regular"/>
    <x v="3"/>
    <x v="1"/>
    <x v="4"/>
    <x v="0"/>
    <x v="0"/>
    <x v="0"/>
    <x v="1"/>
    <x v="1"/>
    <n v="0"/>
    <n v="0"/>
    <n v="1.5369999999999999"/>
    <n v="1.5369999999999999"/>
    <n v="1.5369999999999999"/>
    <n v="1.5369999999999999"/>
    <n v="3"/>
    <x v="0"/>
    <n v="0"/>
    <n v="0"/>
    <n v="46"/>
    <n v="84"/>
    <n v="0"/>
    <n v="306.19"/>
    <n v="242.35"/>
    <m/>
    <n v="448.02163143730991"/>
    <n v="191.00751406315655"/>
    <n v="0"/>
    <n v="470.61402999999996"/>
    <n v="372.49194999999997"/>
    <n v="0"/>
    <n v="688.60924751914524"/>
    <n v="293.57854911507161"/>
  </r>
  <r>
    <s v="Regular"/>
    <x v="3"/>
    <x v="1"/>
    <x v="4"/>
    <x v="0"/>
    <x v="0"/>
    <x v="0"/>
    <x v="1"/>
    <x v="2"/>
    <n v="0"/>
    <n v="0"/>
    <n v="1.3919999999999999"/>
    <n v="1.3919999999999999"/>
    <n v="1.3919999999999999"/>
    <n v="1.3919999999999999"/>
    <n v="1"/>
    <x v="0"/>
    <n v="0"/>
    <n v="0"/>
    <n v="46"/>
    <n v="84"/>
    <n v="0"/>
    <n v="306.19"/>
    <n v="242.35"/>
    <m/>
    <n v="448.02163143730991"/>
    <n v="191.00751406315655"/>
    <n v="0"/>
    <n v="426.21647999999999"/>
    <n v="337.35119999999995"/>
    <n v="0"/>
    <n v="623.64611096073531"/>
    <n v="265.88245957591391"/>
  </r>
  <r>
    <s v="Regular"/>
    <x v="3"/>
    <x v="1"/>
    <x v="4"/>
    <x v="0"/>
    <x v="0"/>
    <x v="0"/>
    <x v="1"/>
    <x v="3"/>
    <n v="0"/>
    <n v="0"/>
    <n v="3.4969999999999999"/>
    <n v="3.4969999999999999"/>
    <n v="3.4969999999999999"/>
    <n v="3.4969999999999999"/>
    <n v="1"/>
    <x v="0"/>
    <n v="0"/>
    <n v="0"/>
    <n v="46"/>
    <n v="84"/>
    <n v="0"/>
    <n v="306.19"/>
    <n v="242.35"/>
    <m/>
    <n v="448.02163143730991"/>
    <n v="191.00751406315655"/>
    <n v="0"/>
    <n v="1070.7464299999999"/>
    <n v="847.49794999999995"/>
    <n v="0"/>
    <n v="1566.7316451362726"/>
    <n v="667.9532766788584"/>
  </r>
  <r>
    <s v="Regular"/>
    <x v="3"/>
    <x v="1"/>
    <x v="4"/>
    <x v="0"/>
    <x v="0"/>
    <x v="0"/>
    <x v="1"/>
    <x v="4"/>
    <n v="0"/>
    <n v="0"/>
    <n v="2.82"/>
    <n v="2.82"/>
    <n v="2.82"/>
    <n v="2.82"/>
    <n v="1"/>
    <x v="0"/>
    <n v="0"/>
    <n v="0"/>
    <n v="46"/>
    <n v="84"/>
    <n v="0"/>
    <n v="306.19"/>
    <n v="242.35"/>
    <m/>
    <n v="448.02163143730991"/>
    <n v="191.00751406315655"/>
    <n v="0"/>
    <n v="863.45579999999995"/>
    <n v="683.42699999999991"/>
    <n v="0"/>
    <n v="1263.4210006532139"/>
    <n v="538.64118965810144"/>
  </r>
  <r>
    <s v="Regular"/>
    <x v="3"/>
    <x v="1"/>
    <x v="4"/>
    <x v="0"/>
    <x v="0"/>
    <x v="0"/>
    <x v="1"/>
    <x v="5"/>
    <n v="0"/>
    <n v="0"/>
    <n v="3.88"/>
    <n v="3.88"/>
    <n v="3.88"/>
    <n v="3.88"/>
    <n v="1"/>
    <x v="0"/>
    <n v="0"/>
    <n v="0"/>
    <n v="46"/>
    <n v="84"/>
    <n v="0"/>
    <n v="306.19"/>
    <n v="242.35"/>
    <m/>
    <n v="448.02163143730991"/>
    <n v="191.00751406315655"/>
    <n v="0"/>
    <n v="1188.0172"/>
    <n v="940.31799999999998"/>
    <n v="0"/>
    <n v="1738.3239299767624"/>
    <n v="741.10915456504733"/>
  </r>
  <r>
    <s v="Regular"/>
    <x v="3"/>
    <x v="1"/>
    <x v="4"/>
    <x v="0"/>
    <x v="0"/>
    <x v="0"/>
    <x v="1"/>
    <x v="6"/>
    <n v="0"/>
    <n v="0"/>
    <n v="2.657"/>
    <n v="2.657"/>
    <n v="2.657"/>
    <n v="2.657"/>
    <n v="1"/>
    <x v="0"/>
    <n v="0"/>
    <n v="0"/>
    <n v="46"/>
    <n v="84"/>
    <n v="0"/>
    <n v="306.19"/>
    <n v="242.35"/>
    <m/>
    <n v="448.02163143730991"/>
    <n v="191.00751406315655"/>
    <n v="0"/>
    <n v="813.54683"/>
    <n v="643.92394999999999"/>
    <n v="0"/>
    <n v="1190.3934747289325"/>
    <n v="507.50696486580694"/>
  </r>
  <r>
    <s v="Regular"/>
    <x v="3"/>
    <x v="1"/>
    <x v="4"/>
    <x v="0"/>
    <x v="0"/>
    <x v="0"/>
    <x v="1"/>
    <x v="7"/>
    <n v="0"/>
    <n v="0"/>
    <n v="2.4729999999999999"/>
    <n v="2.4729999999999999"/>
    <n v="2.4729999999999999"/>
    <n v="2.4729999999999999"/>
    <n v="1"/>
    <x v="0"/>
    <n v="0"/>
    <n v="0"/>
    <n v="46"/>
    <n v="84"/>
    <n v="0"/>
    <n v="306.19"/>
    <n v="242.35"/>
    <m/>
    <n v="448.02163143730991"/>
    <n v="191.00751406315655"/>
    <n v="0"/>
    <n v="757.20786999999996"/>
    <n v="599.33154999999999"/>
    <n v="0"/>
    <n v="1107.9574945444674"/>
    <n v="472.36158227818612"/>
  </r>
  <r>
    <s v="Regular"/>
    <x v="3"/>
    <x v="1"/>
    <x v="4"/>
    <x v="0"/>
    <x v="0"/>
    <x v="0"/>
    <x v="1"/>
    <x v="8"/>
    <n v="0"/>
    <n v="0"/>
    <n v="2.0070000000000001"/>
    <n v="2.0070000000000001"/>
    <n v="2.0070000000000001"/>
    <n v="2.0070000000000001"/>
    <n v="1"/>
    <x v="0"/>
    <n v="0"/>
    <n v="0"/>
    <n v="46"/>
    <n v="84"/>
    <n v="0"/>
    <n v="306.19"/>
    <n v="242.35"/>
    <m/>
    <n v="448.02163143730991"/>
    <n v="191.00751406315655"/>
    <n v="0"/>
    <n v="614.52332999999999"/>
    <n v="486.39645000000002"/>
    <n v="0"/>
    <n v="899.17941429468101"/>
    <n v="383.35208072475524"/>
  </r>
  <r>
    <s v="Regular"/>
    <x v="3"/>
    <x v="1"/>
    <x v="4"/>
    <x v="0"/>
    <x v="0"/>
    <x v="0"/>
    <x v="1"/>
    <x v="9"/>
    <n v="0"/>
    <n v="0"/>
    <n v="2.0249999999999999"/>
    <n v="2.0249999999999999"/>
    <n v="2.0249999999999999"/>
    <n v="2.0249999999999999"/>
    <n v="1"/>
    <x v="0"/>
    <n v="0"/>
    <n v="0"/>
    <n v="46"/>
    <n v="84"/>
    <n v="0"/>
    <n v="306.19"/>
    <n v="242.35"/>
    <m/>
    <n v="448.02163143730991"/>
    <n v="191.00751406315655"/>
    <n v="0"/>
    <n v="620.03474999999992"/>
    <n v="490.75874999999996"/>
    <n v="0"/>
    <n v="907.24380366055254"/>
    <n v="386.79021597789199"/>
  </r>
  <r>
    <s v="Regular"/>
    <x v="3"/>
    <x v="1"/>
    <x v="4"/>
    <x v="0"/>
    <x v="0"/>
    <x v="0"/>
    <x v="1"/>
    <x v="10"/>
    <n v="0"/>
    <n v="0"/>
    <n v="1.8839999999999999"/>
    <n v="1.8839999999999999"/>
    <n v="1.8839999999999999"/>
    <n v="1.8839999999999999"/>
    <n v="1"/>
    <x v="0"/>
    <n v="0"/>
    <n v="0"/>
    <n v="46"/>
    <n v="84"/>
    <n v="0"/>
    <n v="306.19"/>
    <n v="242.35"/>
    <m/>
    <n v="448.02163143730991"/>
    <n v="191.00751406315655"/>
    <n v="0"/>
    <n v="576.86195999999995"/>
    <n v="456.58739999999995"/>
    <n v="0"/>
    <n v="844.07275362789187"/>
    <n v="359.85815649498693"/>
  </r>
  <r>
    <s v="PROJETADO"/>
    <x v="3"/>
    <x v="1"/>
    <x v="4"/>
    <x v="0"/>
    <x v="0"/>
    <x v="0"/>
    <x v="1"/>
    <x v="11"/>
    <n v="0"/>
    <n v="0"/>
    <n v="1.8839999999999999"/>
    <n v="1.8839999999999999"/>
    <n v="1.8839999999999999"/>
    <n v="1.8839999999999999"/>
    <n v="1"/>
    <x v="0"/>
    <n v="0"/>
    <n v="0"/>
    <n v="46"/>
    <n v="84"/>
    <n v="0"/>
    <n v="306.19"/>
    <n v="242.35"/>
    <m/>
    <n v="448.02163143730991"/>
    <n v="191.00751406315655"/>
    <n v="0"/>
    <n v="576.86195999999995"/>
    <n v="456.58739999999995"/>
    <n v="0"/>
    <n v="844.07275362789187"/>
    <n v="359.85815649498693"/>
  </r>
  <r>
    <s v="Regular"/>
    <x v="3"/>
    <x v="1"/>
    <x v="1"/>
    <x v="0"/>
    <x v="0"/>
    <x v="0"/>
    <x v="1"/>
    <x v="0"/>
    <n v="0"/>
    <n v="0"/>
    <n v="19.715"/>
    <n v="19.715"/>
    <n v="19.715"/>
    <n v="19.715"/>
    <n v="40"/>
    <x v="0"/>
    <n v="0"/>
    <n v="0"/>
    <n v="46"/>
    <n v="84"/>
    <n v="0"/>
    <n v="306.19"/>
    <n v="242.35"/>
    <m/>
    <n v="448.02163143730991"/>
    <n v="191.00751406315655"/>
    <n v="0"/>
    <n v="6036.5358500000002"/>
    <n v="4777.9302499999994"/>
    <n v="0"/>
    <n v="8832.7464637865651"/>
    <n v="3765.7131397551311"/>
  </r>
  <r>
    <s v="Sistema de Compensação"/>
    <x v="3"/>
    <x v="1"/>
    <x v="1"/>
    <x v="0"/>
    <x v="0"/>
    <x v="0"/>
    <x v="1"/>
    <x v="0"/>
    <n v="0"/>
    <n v="0"/>
    <n v="13.798999999999999"/>
    <n v="13.798999999999999"/>
    <n v="13.798999999999999"/>
    <n v="13.798999999999999"/>
    <n v="4"/>
    <x v="0"/>
    <n v="0"/>
    <n v="0"/>
    <n v="46"/>
    <n v="84"/>
    <n v="0"/>
    <n v="306.19"/>
    <n v="242.35"/>
    <m/>
    <n v="448.02163143730991"/>
    <n v="191.00751406315655"/>
    <n v="0"/>
    <n v="4225.1158100000002"/>
    <n v="3344.1876499999998"/>
    <n v="0"/>
    <n v="6182.2504922034395"/>
    <n v="2635.7126865574969"/>
  </r>
  <r>
    <s v="Regular"/>
    <x v="3"/>
    <x v="1"/>
    <x v="1"/>
    <x v="0"/>
    <x v="0"/>
    <x v="0"/>
    <x v="1"/>
    <x v="1"/>
    <n v="0"/>
    <n v="0"/>
    <n v="21.478000000000002"/>
    <n v="21.478000000000002"/>
    <n v="21.478000000000002"/>
    <n v="21.478000000000002"/>
    <n v="38"/>
    <x v="0"/>
    <n v="0"/>
    <n v="0"/>
    <n v="46"/>
    <n v="84"/>
    <n v="0"/>
    <n v="306.19"/>
    <n v="242.35"/>
    <m/>
    <n v="448.02163143730991"/>
    <n v="191.00751406315655"/>
    <n v="0"/>
    <n v="6576.3488200000002"/>
    <n v="5205.1932999999999"/>
    <n v="0"/>
    <n v="9622.6086000105424"/>
    <n v="4102.4593870484769"/>
  </r>
  <r>
    <s v="Sistema de Compensação"/>
    <x v="3"/>
    <x v="1"/>
    <x v="1"/>
    <x v="0"/>
    <x v="0"/>
    <x v="0"/>
    <x v="1"/>
    <x v="1"/>
    <n v="0"/>
    <n v="0"/>
    <n v="15.423999999999999"/>
    <n v="15.423999999999999"/>
    <n v="15.423999999999999"/>
    <n v="15.423999999999999"/>
    <n v="4"/>
    <x v="0"/>
    <n v="0"/>
    <n v="0"/>
    <n v="46"/>
    <n v="84"/>
    <n v="0"/>
    <n v="306.19"/>
    <n v="242.35"/>
    <m/>
    <n v="448.02163143730991"/>
    <n v="191.00751406315655"/>
    <n v="0"/>
    <n v="4722.6745599999995"/>
    <n v="3738.0063999999998"/>
    <n v="0"/>
    <n v="6910.2856432890676"/>
    <n v="2946.0998969101265"/>
  </r>
  <r>
    <s v="Regular"/>
    <x v="3"/>
    <x v="1"/>
    <x v="1"/>
    <x v="0"/>
    <x v="0"/>
    <x v="0"/>
    <x v="1"/>
    <x v="2"/>
    <n v="0"/>
    <n v="0"/>
    <n v="24.670999999999999"/>
    <n v="24.670999999999999"/>
    <n v="24.670999999999999"/>
    <n v="24.670999999999999"/>
    <n v="37"/>
    <x v="0"/>
    <n v="0"/>
    <n v="0"/>
    <n v="46"/>
    <n v="84"/>
    <n v="0"/>
    <n v="306.19"/>
    <n v="242.35"/>
    <m/>
    <n v="448.02163143730991"/>
    <n v="191.00751406315655"/>
    <n v="0"/>
    <n v="7554.0134899999994"/>
    <n v="5979.01685"/>
    <n v="0"/>
    <n v="11053.141669189872"/>
    <n v="4712.3463794521349"/>
  </r>
  <r>
    <s v="Sistema de Compensação"/>
    <x v="3"/>
    <x v="1"/>
    <x v="1"/>
    <x v="0"/>
    <x v="0"/>
    <x v="0"/>
    <x v="1"/>
    <x v="2"/>
    <n v="0"/>
    <n v="0"/>
    <n v="9.93"/>
    <n v="9.93"/>
    <n v="9.93"/>
    <n v="9.93"/>
    <n v="4"/>
    <x v="0"/>
    <n v="0"/>
    <n v="0"/>
    <n v="46"/>
    <n v="84"/>
    <n v="0"/>
    <n v="306.19"/>
    <n v="242.35"/>
    <m/>
    <n v="448.02163143730991"/>
    <n v="191.00751406315655"/>
    <n v="0"/>
    <n v="3040.4666999999999"/>
    <n v="2406.5355"/>
    <n v="0"/>
    <n v="4448.8548001724876"/>
    <n v="1896.7046146471446"/>
  </r>
  <r>
    <s v="Regular"/>
    <x v="3"/>
    <x v="1"/>
    <x v="1"/>
    <x v="0"/>
    <x v="0"/>
    <x v="0"/>
    <x v="1"/>
    <x v="3"/>
    <n v="0"/>
    <n v="0"/>
    <n v="26.326000000000001"/>
    <n v="26.326000000000001"/>
    <n v="26.326000000000001"/>
    <n v="26.326000000000001"/>
    <n v="37"/>
    <x v="0"/>
    <n v="0"/>
    <n v="0"/>
    <n v="46"/>
    <n v="84"/>
    <n v="0"/>
    <n v="306.19"/>
    <n v="242.35"/>
    <m/>
    <n v="448.02163143730991"/>
    <n v="191.00751406315655"/>
    <n v="0"/>
    <n v="8060.7579400000004"/>
    <n v="6380.1061"/>
    <n v="0"/>
    <n v="11794.617469218621"/>
    <n v="5028.4638152266598"/>
  </r>
  <r>
    <s v="Sistema de Compensação"/>
    <x v="3"/>
    <x v="1"/>
    <x v="1"/>
    <x v="0"/>
    <x v="0"/>
    <x v="0"/>
    <x v="1"/>
    <x v="3"/>
    <n v="0"/>
    <n v="0"/>
    <n v="8.94"/>
    <n v="8.94"/>
    <n v="8.94"/>
    <n v="8.94"/>
    <n v="4"/>
    <x v="0"/>
    <n v="0"/>
    <n v="0"/>
    <n v="46"/>
    <n v="84"/>
    <n v="0"/>
    <n v="306.19"/>
    <n v="242.35"/>
    <m/>
    <n v="448.02163143730991"/>
    <n v="191.00751406315655"/>
    <n v="0"/>
    <n v="2737.3386"/>
    <n v="2166.6089999999999"/>
    <n v="0"/>
    <n v="4005.3133850495506"/>
    <n v="1707.6071757246195"/>
  </r>
  <r>
    <s v="Regular"/>
    <x v="3"/>
    <x v="1"/>
    <x v="1"/>
    <x v="0"/>
    <x v="0"/>
    <x v="0"/>
    <x v="1"/>
    <x v="4"/>
    <n v="0"/>
    <n v="0"/>
    <n v="17.579000000000001"/>
    <n v="17.579000000000001"/>
    <n v="17.579000000000001"/>
    <n v="17.579000000000001"/>
    <n v="37"/>
    <x v="0"/>
    <n v="0"/>
    <n v="0"/>
    <n v="46"/>
    <n v="84"/>
    <n v="0"/>
    <n v="306.19"/>
    <n v="242.35"/>
    <m/>
    <n v="448.02163143730991"/>
    <n v="191.00751406315655"/>
    <n v="0"/>
    <n v="5382.5140099999999"/>
    <n v="4260.2706500000004"/>
    <n v="0"/>
    <n v="7875.772259036471"/>
    <n v="3357.721089716229"/>
  </r>
  <r>
    <s v="Sistema de Compensação"/>
    <x v="3"/>
    <x v="1"/>
    <x v="1"/>
    <x v="0"/>
    <x v="0"/>
    <x v="0"/>
    <x v="1"/>
    <x v="4"/>
    <n v="0"/>
    <n v="0"/>
    <n v="0.4"/>
    <n v="0.4"/>
    <n v="0.4"/>
    <n v="0.4"/>
    <n v="4"/>
    <x v="0"/>
    <n v="0"/>
    <n v="0"/>
    <n v="46"/>
    <n v="84"/>
    <n v="0"/>
    <n v="306.19"/>
    <n v="242.35"/>
    <m/>
    <n v="448.02163143730991"/>
    <n v="191.00751406315655"/>
    <n v="0"/>
    <n v="122.476"/>
    <n v="96.94"/>
    <n v="0"/>
    <n v="179.20865257492397"/>
    <n v="76.403005625262622"/>
  </r>
  <r>
    <s v="Regular"/>
    <x v="3"/>
    <x v="1"/>
    <x v="1"/>
    <x v="0"/>
    <x v="0"/>
    <x v="0"/>
    <x v="1"/>
    <x v="5"/>
    <n v="0"/>
    <n v="0"/>
    <n v="49.401000000000003"/>
    <n v="49.401000000000003"/>
    <n v="49.401000000000003"/>
    <n v="49.401000000000003"/>
    <n v="38"/>
    <x v="0"/>
    <n v="0"/>
    <n v="0"/>
    <n v="46"/>
    <n v="84"/>
    <n v="0"/>
    <n v="306.19"/>
    <n v="242.35"/>
    <m/>
    <n v="448.02163143730991"/>
    <n v="191.00751406315655"/>
    <n v="0"/>
    <n v="15126.092190000001"/>
    <n v="11972.332350000001"/>
    <n v="0"/>
    <n v="22132.716614634548"/>
    <n v="9435.9622022339972"/>
  </r>
  <r>
    <s v="Sistema de Compensação"/>
    <x v="3"/>
    <x v="1"/>
    <x v="1"/>
    <x v="0"/>
    <x v="0"/>
    <x v="0"/>
    <x v="1"/>
    <x v="5"/>
    <n v="0"/>
    <n v="0"/>
    <n v="0.82499999999999996"/>
    <n v="0.82499999999999996"/>
    <n v="0.82499999999999996"/>
    <n v="0.82499999999999996"/>
    <n v="3"/>
    <x v="0"/>
    <n v="0"/>
    <n v="0"/>
    <n v="46"/>
    <n v="84"/>
    <n v="0"/>
    <n v="306.19"/>
    <n v="242.35"/>
    <m/>
    <n v="448.02163143730991"/>
    <n v="191.00751406315655"/>
    <n v="0"/>
    <n v="252.60674999999998"/>
    <n v="199.93874999999997"/>
    <n v="0"/>
    <n v="369.61784593578068"/>
    <n v="157.58119910210414"/>
  </r>
  <r>
    <s v="Regular"/>
    <x v="3"/>
    <x v="1"/>
    <x v="1"/>
    <x v="0"/>
    <x v="0"/>
    <x v="0"/>
    <x v="1"/>
    <x v="6"/>
    <n v="0"/>
    <n v="0"/>
    <n v="41.225999999999999"/>
    <n v="41.225999999999999"/>
    <n v="41.225999999999999"/>
    <n v="41.225999999999999"/>
    <n v="37"/>
    <x v="0"/>
    <n v="0"/>
    <n v="0"/>
    <n v="46"/>
    <n v="84"/>
    <n v="0"/>
    <n v="306.19"/>
    <n v="242.35"/>
    <m/>
    <n v="448.02163143730991"/>
    <n v="191.00751406315655"/>
    <n v="0"/>
    <n v="12622.988939999999"/>
    <n v="9991.1211000000003"/>
    <n v="0"/>
    <n v="18470.139777634537"/>
    <n v="7874.4757747676913"/>
  </r>
  <r>
    <s v="Sistema de Compensação"/>
    <x v="3"/>
    <x v="1"/>
    <x v="1"/>
    <x v="0"/>
    <x v="0"/>
    <x v="0"/>
    <x v="1"/>
    <x v="6"/>
    <n v="0"/>
    <n v="0"/>
    <n v="1.58"/>
    <n v="1.58"/>
    <n v="1.58"/>
    <n v="1.58"/>
    <n v="3"/>
    <x v="0"/>
    <n v="0"/>
    <n v="0"/>
    <n v="46"/>
    <n v="84"/>
    <n v="0"/>
    <n v="306.19"/>
    <n v="242.35"/>
    <m/>
    <n v="448.02163143730991"/>
    <n v="191.00751406315655"/>
    <n v="0"/>
    <n v="483.78020000000004"/>
    <n v="382.91300000000001"/>
    <n v="0"/>
    <n v="707.87417767094973"/>
    <n v="301.79187221978736"/>
  </r>
  <r>
    <s v="Regular"/>
    <x v="3"/>
    <x v="1"/>
    <x v="1"/>
    <x v="0"/>
    <x v="0"/>
    <x v="0"/>
    <x v="1"/>
    <x v="7"/>
    <n v="0"/>
    <n v="0"/>
    <n v="38.97"/>
    <n v="38.97"/>
    <n v="38.97"/>
    <n v="38.97"/>
    <n v="38"/>
    <x v="0"/>
    <n v="0"/>
    <n v="0"/>
    <n v="46"/>
    <n v="84"/>
    <n v="0"/>
    <n v="306.19"/>
    <n v="242.35"/>
    <m/>
    <n v="448.02163143730991"/>
    <n v="191.00751406315655"/>
    <n v="0"/>
    <n v="11932.2243"/>
    <n v="9444.3794999999991"/>
    <n v="0"/>
    <n v="17459.402977111968"/>
    <n v="7443.5628230412103"/>
  </r>
  <r>
    <s v="Sistema de Compensação"/>
    <x v="3"/>
    <x v="1"/>
    <x v="1"/>
    <x v="0"/>
    <x v="0"/>
    <x v="0"/>
    <x v="1"/>
    <x v="7"/>
    <n v="0"/>
    <n v="0"/>
    <n v="2.38"/>
    <n v="2.38"/>
    <n v="2.38"/>
    <n v="2.38"/>
    <n v="3"/>
    <x v="0"/>
    <n v="0"/>
    <n v="0"/>
    <n v="46"/>
    <n v="84"/>
    <n v="0"/>
    <n v="306.19"/>
    <n v="242.35"/>
    <m/>
    <n v="448.02163143730991"/>
    <n v="191.00751406315655"/>
    <n v="0"/>
    <n v="728.73219999999992"/>
    <n v="576.79300000000001"/>
    <n v="0"/>
    <n v="1066.2914828207975"/>
    <n v="454.59788347031258"/>
  </r>
  <r>
    <s v="Regular"/>
    <x v="3"/>
    <x v="1"/>
    <x v="1"/>
    <x v="0"/>
    <x v="0"/>
    <x v="0"/>
    <x v="1"/>
    <x v="8"/>
    <n v="0"/>
    <n v="0"/>
    <n v="22.984999999999999"/>
    <n v="22.984999999999999"/>
    <n v="22.984999999999999"/>
    <n v="22.984999999999999"/>
    <n v="40"/>
    <x v="0"/>
    <n v="0"/>
    <n v="0"/>
    <n v="46"/>
    <n v="84"/>
    <n v="0"/>
    <n v="306.19"/>
    <n v="242.35"/>
    <m/>
    <n v="448.02163143730991"/>
    <n v="191.00751406315655"/>
    <n v="0"/>
    <n v="7037.7771499999999"/>
    <n v="5570.4147499999999"/>
    <n v="0"/>
    <n v="10297.777198586567"/>
    <n v="4390.307710741653"/>
  </r>
  <r>
    <s v="Sistema de Compensação"/>
    <x v="3"/>
    <x v="1"/>
    <x v="1"/>
    <x v="0"/>
    <x v="0"/>
    <x v="0"/>
    <x v="1"/>
    <x v="8"/>
    <n v="0"/>
    <n v="0"/>
    <n v="2.2599999999999998"/>
    <n v="2.2599999999999998"/>
    <n v="2.2599999999999998"/>
    <n v="2.2599999999999998"/>
    <n v="3"/>
    <x v="0"/>
    <n v="0"/>
    <n v="0"/>
    <n v="46"/>
    <n v="84"/>
    <n v="0"/>
    <n v="306.19"/>
    <n v="242.35"/>
    <m/>
    <n v="448.02163143730991"/>
    <n v="191.00751406315655"/>
    <n v="0"/>
    <n v="691.98939999999993"/>
    <n v="547.7109999999999"/>
    <n v="0"/>
    <n v="1012.5288870483203"/>
    <n v="431.67698178273378"/>
  </r>
  <r>
    <s v="Regular"/>
    <x v="3"/>
    <x v="1"/>
    <x v="1"/>
    <x v="0"/>
    <x v="0"/>
    <x v="0"/>
    <x v="1"/>
    <x v="9"/>
    <n v="0"/>
    <n v="0"/>
    <n v="24.045000000000002"/>
    <n v="24.045000000000002"/>
    <n v="24.045000000000002"/>
    <n v="24.045000000000002"/>
    <n v="41"/>
    <x v="0"/>
    <n v="0"/>
    <n v="0"/>
    <n v="46"/>
    <n v="84"/>
    <n v="0"/>
    <n v="306.19"/>
    <n v="242.35"/>
    <m/>
    <n v="448.02163143730991"/>
    <n v="191.00751406315655"/>
    <n v="0"/>
    <n v="7362.3385500000004"/>
    <n v="5827.3057500000004"/>
    <n v="0"/>
    <n v="10772.680127910118"/>
    <n v="4592.7756756485996"/>
  </r>
  <r>
    <s v="Sistema de Compensação"/>
    <x v="3"/>
    <x v="1"/>
    <x v="1"/>
    <x v="0"/>
    <x v="0"/>
    <x v="0"/>
    <x v="1"/>
    <x v="9"/>
    <n v="0"/>
    <n v="0"/>
    <n v="2.9260000000000002"/>
    <n v="2.9260000000000002"/>
    <n v="2.9260000000000002"/>
    <n v="2.9260000000000002"/>
    <n v="3"/>
    <x v="0"/>
    <n v="0"/>
    <n v="0"/>
    <n v="46"/>
    <n v="84"/>
    <n v="0"/>
    <n v="306.19"/>
    <n v="242.35"/>
    <m/>
    <n v="448.02163143730991"/>
    <n v="191.00751406315655"/>
    <n v="0"/>
    <n v="895.91194000000007"/>
    <n v="709.11610000000007"/>
    <n v="0"/>
    <n v="1310.911293585569"/>
    <n v="558.88798614879613"/>
  </r>
  <r>
    <s v="Regular"/>
    <x v="3"/>
    <x v="1"/>
    <x v="1"/>
    <x v="0"/>
    <x v="0"/>
    <x v="0"/>
    <x v="1"/>
    <x v="10"/>
    <n v="0"/>
    <n v="0"/>
    <n v="23.27"/>
    <n v="23.27"/>
    <n v="23.27"/>
    <n v="23.27"/>
    <n v="42"/>
    <x v="0"/>
    <n v="0"/>
    <n v="0"/>
    <n v="46"/>
    <n v="84"/>
    <n v="0"/>
    <n v="306.19"/>
    <n v="242.35"/>
    <m/>
    <n v="448.02163143730991"/>
    <n v="191.00751406315655"/>
    <n v="0"/>
    <n v="7125.0412999999999"/>
    <n v="5639.4844999999996"/>
    <n v="0"/>
    <n v="10425.463363546201"/>
    <n v="4444.7448522496525"/>
  </r>
  <r>
    <s v="Sistema de Compensação"/>
    <x v="3"/>
    <x v="1"/>
    <x v="1"/>
    <x v="0"/>
    <x v="0"/>
    <x v="0"/>
    <x v="1"/>
    <x v="10"/>
    <n v="0"/>
    <n v="0"/>
    <n v="2.7879999999999998"/>
    <n v="2.7879999999999998"/>
    <n v="2.7879999999999998"/>
    <n v="2.7879999999999998"/>
    <n v="3"/>
    <x v="0"/>
    <n v="0"/>
    <n v="0"/>
    <n v="46"/>
    <n v="84"/>
    <n v="0"/>
    <n v="306.19"/>
    <n v="242.35"/>
    <m/>
    <n v="448.02163143730991"/>
    <n v="191.00751406315655"/>
    <n v="0"/>
    <n v="853.65771999999993"/>
    <n v="675.67179999999996"/>
    <n v="0"/>
    <n v="1249.0843084472199"/>
    <n v="532.52894920808046"/>
  </r>
  <r>
    <s v="PROJETADO"/>
    <x v="3"/>
    <x v="1"/>
    <x v="1"/>
    <x v="0"/>
    <x v="0"/>
    <x v="0"/>
    <x v="1"/>
    <x v="11"/>
    <n v="0"/>
    <n v="0"/>
    <n v="23.27"/>
    <n v="23.27"/>
    <n v="23.27"/>
    <n v="23.27"/>
    <n v="42"/>
    <x v="0"/>
    <n v="0"/>
    <n v="0"/>
    <n v="46"/>
    <n v="84"/>
    <n v="0"/>
    <n v="306.19"/>
    <n v="242.35"/>
    <m/>
    <n v="448.02163143730991"/>
    <n v="191.00751406315655"/>
    <n v="0"/>
    <n v="7125.0412999999999"/>
    <n v="5639.4844999999996"/>
    <n v="0"/>
    <n v="10425.463363546201"/>
    <n v="4444.7448522496525"/>
  </r>
  <r>
    <s v="PROJETADO"/>
    <x v="3"/>
    <x v="1"/>
    <x v="1"/>
    <x v="0"/>
    <x v="0"/>
    <x v="0"/>
    <x v="1"/>
    <x v="11"/>
    <n v="0"/>
    <n v="0"/>
    <n v="2.7879999999999998"/>
    <n v="2.7879999999999998"/>
    <n v="2.7879999999999998"/>
    <n v="2.7879999999999998"/>
    <n v="3"/>
    <x v="0"/>
    <n v="0"/>
    <n v="0"/>
    <n v="46"/>
    <n v="84"/>
    <n v="0"/>
    <n v="306.19"/>
    <n v="242.35"/>
    <m/>
    <n v="448.02163143730991"/>
    <n v="191.00751406315655"/>
    <n v="0"/>
    <n v="853.65771999999993"/>
    <n v="675.67179999999996"/>
    <n v="0"/>
    <n v="1249.0843084472199"/>
    <n v="532.52894920808046"/>
  </r>
  <r>
    <s v="Regular"/>
    <x v="3"/>
    <x v="1"/>
    <x v="5"/>
    <x v="0"/>
    <x v="0"/>
    <x v="0"/>
    <x v="1"/>
    <x v="0"/>
    <n v="0"/>
    <n v="0"/>
    <n v="22.029"/>
    <n v="22.029"/>
    <n v="22.029"/>
    <n v="22.029"/>
    <n v="48"/>
    <x v="0"/>
    <n v="0"/>
    <n v="0"/>
    <n v="46"/>
    <n v="84"/>
    <n v="0"/>
    <n v="306.19"/>
    <n v="242.35"/>
    <m/>
    <n v="448.02163143730991"/>
    <n v="191.00751406315655"/>
    <n v="0"/>
    <n v="6745.05951"/>
    <n v="5338.7281499999999"/>
    <n v="0"/>
    <n v="9869.4685189324991"/>
    <n v="4207.7045272972755"/>
  </r>
  <r>
    <s v="Regular"/>
    <x v="3"/>
    <x v="1"/>
    <x v="5"/>
    <x v="0"/>
    <x v="0"/>
    <x v="0"/>
    <x v="1"/>
    <x v="1"/>
    <n v="0"/>
    <n v="0"/>
    <n v="25.126999999999999"/>
    <n v="25.126999999999999"/>
    <n v="25.126999999999999"/>
    <n v="25.126999999999999"/>
    <n v="48"/>
    <x v="0"/>
    <n v="0"/>
    <n v="0"/>
    <n v="46"/>
    <n v="84"/>
    <n v="0"/>
    <n v="306.19"/>
    <n v="242.35"/>
    <m/>
    <n v="448.02163143730991"/>
    <n v="191.00751406315655"/>
    <n v="0"/>
    <n v="7693.6361299999999"/>
    <n v="6089.5284499999998"/>
    <n v="0"/>
    <n v="11257.439533125285"/>
    <n v="4799.4458058649343"/>
  </r>
  <r>
    <s v="Regular"/>
    <x v="3"/>
    <x v="1"/>
    <x v="5"/>
    <x v="0"/>
    <x v="0"/>
    <x v="0"/>
    <x v="1"/>
    <x v="2"/>
    <n v="0"/>
    <n v="0"/>
    <n v="27.48"/>
    <n v="27.48"/>
    <n v="27.48"/>
    <n v="27.48"/>
    <n v="48"/>
    <x v="0"/>
    <n v="0"/>
    <n v="0"/>
    <n v="46"/>
    <n v="84"/>
    <n v="0"/>
    <n v="306.19"/>
    <n v="242.35"/>
    <m/>
    <n v="448.02163143730991"/>
    <n v="191.00751406315655"/>
    <n v="0"/>
    <n v="8414.101200000001"/>
    <n v="6659.7780000000002"/>
    <n v="0"/>
    <n v="12311.634431897277"/>
    <n v="5248.8864864555417"/>
  </r>
  <r>
    <s v="Regular"/>
    <x v="3"/>
    <x v="1"/>
    <x v="5"/>
    <x v="0"/>
    <x v="0"/>
    <x v="0"/>
    <x v="1"/>
    <x v="3"/>
    <n v="0"/>
    <n v="0"/>
    <n v="33.453000000000003"/>
    <n v="33.453000000000003"/>
    <n v="33.453000000000003"/>
    <n v="33.453000000000003"/>
    <n v="48"/>
    <x v="0"/>
    <n v="0"/>
    <n v="0"/>
    <n v="46"/>
    <n v="84"/>
    <n v="0"/>
    <n v="306.19"/>
    <n v="242.35"/>
    <m/>
    <n v="448.02163143730991"/>
    <n v="191.00751406315655"/>
    <n v="0"/>
    <n v="10242.97407"/>
    <n v="8107.3345500000005"/>
    <n v="0"/>
    <n v="14987.66763647233"/>
    <n v="6389.7743679547766"/>
  </r>
  <r>
    <s v="Regular"/>
    <x v="3"/>
    <x v="1"/>
    <x v="5"/>
    <x v="0"/>
    <x v="0"/>
    <x v="0"/>
    <x v="1"/>
    <x v="4"/>
    <n v="0"/>
    <n v="0"/>
    <n v="23.474"/>
    <n v="23.474"/>
    <n v="23.474"/>
    <n v="23.474"/>
    <n v="48"/>
    <x v="0"/>
    <n v="0"/>
    <n v="0"/>
    <n v="46"/>
    <n v="84"/>
    <n v="0"/>
    <n v="306.19"/>
    <n v="242.35"/>
    <m/>
    <n v="448.02163143730991"/>
    <n v="191.00751406315655"/>
    <n v="0"/>
    <n v="7187.5040600000002"/>
    <n v="5688.9238999999998"/>
    <n v="0"/>
    <n v="10516.859776359413"/>
    <n v="4483.7103851185366"/>
  </r>
  <r>
    <s v="Regular"/>
    <x v="3"/>
    <x v="1"/>
    <x v="5"/>
    <x v="0"/>
    <x v="0"/>
    <x v="0"/>
    <x v="1"/>
    <x v="5"/>
    <n v="0"/>
    <n v="0"/>
    <n v="35.281999999999996"/>
    <n v="35.281999999999996"/>
    <n v="35.281999999999996"/>
    <n v="35.281999999999996"/>
    <n v="48"/>
    <x v="0"/>
    <n v="0"/>
    <n v="0"/>
    <n v="46"/>
    <n v="84"/>
    <n v="0"/>
    <n v="306.19"/>
    <n v="242.35"/>
    <m/>
    <n v="448.02163143730991"/>
    <n v="191.00751406315655"/>
    <n v="0"/>
    <n v="10802.995579999999"/>
    <n v="8550.5926999999992"/>
    <n v="0"/>
    <n v="15807.099200371167"/>
    <n v="6739.127111176289"/>
  </r>
  <r>
    <s v="Regular"/>
    <x v="3"/>
    <x v="1"/>
    <x v="5"/>
    <x v="0"/>
    <x v="0"/>
    <x v="0"/>
    <x v="1"/>
    <x v="6"/>
    <n v="0"/>
    <n v="0"/>
    <n v="44.542000000000002"/>
    <n v="44.542000000000002"/>
    <n v="44.542000000000002"/>
    <n v="44.542000000000002"/>
    <n v="49"/>
    <x v="0"/>
    <n v="0"/>
    <n v="0"/>
    <n v="46"/>
    <n v="84"/>
    <n v="0"/>
    <n v="306.19"/>
    <n v="242.35"/>
    <m/>
    <n v="448.02163143730991"/>
    <n v="191.00751406315655"/>
    <n v="0"/>
    <n v="13638.314980000001"/>
    <n v="10794.753699999999"/>
    <n v="0"/>
    <n v="19955.77950748066"/>
    <n v="8507.856691401119"/>
  </r>
  <r>
    <s v="Regular"/>
    <x v="3"/>
    <x v="1"/>
    <x v="5"/>
    <x v="0"/>
    <x v="0"/>
    <x v="0"/>
    <x v="1"/>
    <x v="7"/>
    <n v="0"/>
    <n v="0"/>
    <n v="31.946999999999999"/>
    <n v="31.946999999999999"/>
    <n v="31.946999999999999"/>
    <n v="31.946999999999999"/>
    <n v="50"/>
    <x v="0"/>
    <n v="0"/>
    <n v="0"/>
    <n v="46"/>
    <n v="84"/>
    <n v="0"/>
    <n v="306.19"/>
    <n v="242.35"/>
    <m/>
    <n v="448.02163143730991"/>
    <n v="191.00751406315655"/>
    <n v="0"/>
    <n v="9781.8519299999989"/>
    <n v="7742.35545"/>
    <n v="0"/>
    <n v="14312.94705952774"/>
    <n v="6102.1170517756618"/>
  </r>
  <r>
    <s v="Regular"/>
    <x v="3"/>
    <x v="1"/>
    <x v="5"/>
    <x v="0"/>
    <x v="0"/>
    <x v="0"/>
    <x v="1"/>
    <x v="8"/>
    <n v="0"/>
    <n v="0"/>
    <n v="25.387"/>
    <n v="25.387"/>
    <n v="25.387"/>
    <n v="25.387"/>
    <n v="50"/>
    <x v="0"/>
    <n v="0"/>
    <n v="0"/>
    <n v="46"/>
    <n v="84"/>
    <n v="0"/>
    <n v="306.19"/>
    <n v="242.35"/>
    <m/>
    <n v="448.02163143730991"/>
    <n v="191.00751406315655"/>
    <n v="0"/>
    <n v="7773.2455300000001"/>
    <n v="6152.5394500000002"/>
    <n v="0"/>
    <n v="11373.925157298987"/>
    <n v="4849.1077595213555"/>
  </r>
  <r>
    <s v="Regular"/>
    <x v="3"/>
    <x v="1"/>
    <x v="5"/>
    <x v="0"/>
    <x v="0"/>
    <x v="0"/>
    <x v="1"/>
    <x v="9"/>
    <n v="0"/>
    <n v="0"/>
    <n v="26.954000000000001"/>
    <n v="26.954000000000001"/>
    <n v="26.954000000000001"/>
    <n v="26.954000000000001"/>
    <n v="50"/>
    <x v="0"/>
    <n v="0"/>
    <n v="0"/>
    <n v="46"/>
    <n v="84"/>
    <n v="0"/>
    <n v="306.19"/>
    <n v="242.35"/>
    <m/>
    <n v="448.02163143730991"/>
    <n v="191.00751406315655"/>
    <n v="0"/>
    <n v="8253.0452600000008"/>
    <n v="6532.3019000000004"/>
    <n v="0"/>
    <n v="12075.975053761251"/>
    <n v="5148.4165340583213"/>
  </r>
  <r>
    <s v="Regular"/>
    <x v="3"/>
    <x v="1"/>
    <x v="5"/>
    <x v="0"/>
    <x v="0"/>
    <x v="0"/>
    <x v="1"/>
    <x v="10"/>
    <n v="0"/>
    <n v="0"/>
    <n v="26.992999999999999"/>
    <n v="26.992999999999999"/>
    <n v="26.992999999999999"/>
    <n v="26.992999999999999"/>
    <n v="51"/>
    <x v="0"/>
    <n v="0"/>
    <n v="0"/>
    <n v="46"/>
    <n v="84"/>
    <n v="0"/>
    <n v="306.19"/>
    <n v="242.35"/>
    <m/>
    <n v="448.02163143730991"/>
    <n v="191.00751406315655"/>
    <n v="0"/>
    <n v="8264.9866700000002"/>
    <n v="6541.7535499999994"/>
    <n v="0"/>
    <n v="12093.447897387307"/>
    <n v="5155.8658271067843"/>
  </r>
  <r>
    <s v="PROJETADO"/>
    <x v="3"/>
    <x v="1"/>
    <x v="5"/>
    <x v="0"/>
    <x v="0"/>
    <x v="0"/>
    <x v="1"/>
    <x v="11"/>
    <n v="0"/>
    <n v="0"/>
    <n v="26.992999999999999"/>
    <n v="26.992999999999999"/>
    <n v="26.992999999999999"/>
    <n v="26.992999999999999"/>
    <n v="51"/>
    <x v="0"/>
    <n v="0"/>
    <n v="0"/>
    <n v="46"/>
    <n v="84"/>
    <n v="0"/>
    <n v="306.19"/>
    <n v="242.35"/>
    <m/>
    <n v="448.02163143730991"/>
    <n v="191.00751406315655"/>
    <n v="0"/>
    <n v="8264.9866700000002"/>
    <n v="6541.7535499999994"/>
    <n v="0"/>
    <n v="12093.447897387307"/>
    <n v="5155.8658271067843"/>
  </r>
  <r>
    <s v="Regular"/>
    <x v="3"/>
    <x v="1"/>
    <x v="6"/>
    <x v="8"/>
    <x v="0"/>
    <x v="0"/>
    <x v="1"/>
    <x v="0"/>
    <n v="0"/>
    <n v="0"/>
    <n v="19.818999999999999"/>
    <n v="18.629859999999997"/>
    <n v="19.818999999999999"/>
    <n v="18.629859999999997"/>
    <n v="4"/>
    <x v="0"/>
    <n v="0"/>
    <n v="0"/>
    <n v="46"/>
    <n v="84"/>
    <n v="0"/>
    <n v="306.19"/>
    <n v="242.35"/>
    <m/>
    <n v="448.02163143730991"/>
    <n v="191.00751406315655"/>
    <n v="0"/>
    <n v="5704.2768333999993"/>
    <n v="4514.9465709999995"/>
    <n v="0"/>
    <n v="8346.5802706486811"/>
    <n v="3558.4432459446371"/>
  </r>
  <r>
    <s v="Regular"/>
    <x v="3"/>
    <x v="1"/>
    <x v="6"/>
    <x v="8"/>
    <x v="0"/>
    <x v="0"/>
    <x v="1"/>
    <x v="1"/>
    <n v="0"/>
    <n v="0"/>
    <n v="22.408999999999999"/>
    <n v="21.064459999999997"/>
    <n v="22.408999999999999"/>
    <n v="21.064459999999997"/>
    <n v="4"/>
    <x v="0"/>
    <n v="0"/>
    <n v="0"/>
    <n v="46"/>
    <n v="84"/>
    <n v="0"/>
    <n v="306.19"/>
    <n v="242.35"/>
    <m/>
    <n v="448.02163143730991"/>
    <n v="191.00751406315655"/>
    <n v="0"/>
    <n v="6449.7270073999989"/>
    <n v="5104.9718809999995"/>
    <n v="0"/>
    <n v="9437.3337345459549"/>
    <n v="4023.4701396827982"/>
  </r>
  <r>
    <s v="Regular"/>
    <x v="3"/>
    <x v="1"/>
    <x v="6"/>
    <x v="8"/>
    <x v="0"/>
    <x v="0"/>
    <x v="1"/>
    <x v="2"/>
    <n v="0"/>
    <n v="0"/>
    <n v="20.324000000000002"/>
    <n v="19.104559999999999"/>
    <n v="20.324000000000002"/>
    <n v="19.104559999999999"/>
    <n v="4"/>
    <x v="0"/>
    <n v="0"/>
    <n v="0"/>
    <n v="46"/>
    <n v="84"/>
    <n v="0"/>
    <n v="306.19"/>
    <n v="242.35"/>
    <m/>
    <n v="448.02163143730991"/>
    <n v="191.00751406315655"/>
    <n v="0"/>
    <n v="5849.6252263999995"/>
    <n v="4629.9901159999999"/>
    <n v="0"/>
    <n v="8559.2561390919727"/>
    <n v="3649.1145128704179"/>
  </r>
  <r>
    <s v="Regular"/>
    <x v="3"/>
    <x v="1"/>
    <x v="6"/>
    <x v="8"/>
    <x v="0"/>
    <x v="0"/>
    <x v="1"/>
    <x v="3"/>
    <n v="0"/>
    <n v="0"/>
    <n v="22.574000000000002"/>
    <n v="21.219560000000001"/>
    <n v="22.574000000000002"/>
    <n v="21.219560000000001"/>
    <n v="4"/>
    <x v="0"/>
    <n v="0"/>
    <n v="0"/>
    <n v="46"/>
    <n v="84"/>
    <n v="0"/>
    <n v="306.19"/>
    <n v="242.35"/>
    <m/>
    <n v="448.02163143730991"/>
    <n v="191.00751406315655"/>
    <n v="0"/>
    <n v="6497.2170764000002"/>
    <n v="5142.5603660000006"/>
    <n v="0"/>
    <n v="9506.8218895818845"/>
    <n v="4053.0954051139943"/>
  </r>
  <r>
    <s v="Regular"/>
    <x v="3"/>
    <x v="1"/>
    <x v="6"/>
    <x v="8"/>
    <x v="0"/>
    <x v="0"/>
    <x v="1"/>
    <x v="4"/>
    <n v="0"/>
    <n v="0"/>
    <n v="17.370999999999999"/>
    <n v="16.32874"/>
    <n v="17.370999999999999"/>
    <n v="16.32874"/>
    <n v="4"/>
    <x v="0"/>
    <n v="0"/>
    <n v="0"/>
    <n v="46"/>
    <n v="84"/>
    <n v="0"/>
    <n v="306.19"/>
    <n v="242.35"/>
    <m/>
    <n v="448.02163143730991"/>
    <n v="191.00751406315655"/>
    <n v="0"/>
    <n v="4999.6969005999999"/>
    <n v="3957.2701389999997"/>
    <n v="0"/>
    <n v="7315.6287341156594"/>
    <n v="3118.9120351836268"/>
  </r>
  <r>
    <s v="Regular"/>
    <x v="3"/>
    <x v="1"/>
    <x v="6"/>
    <x v="8"/>
    <x v="0"/>
    <x v="0"/>
    <x v="1"/>
    <x v="5"/>
    <n v="0"/>
    <n v="0"/>
    <n v="20.225000000000001"/>
    <n v="19.011500000000002"/>
    <n v="20.225000000000001"/>
    <n v="19.011500000000002"/>
    <n v="4"/>
    <x v="0"/>
    <n v="0"/>
    <n v="0"/>
    <n v="46"/>
    <n v="84"/>
    <n v="0"/>
    <n v="306.19"/>
    <n v="242.35"/>
    <m/>
    <n v="448.02163143730991"/>
    <n v="191.00751406315655"/>
    <n v="0"/>
    <n v="5821.1311850000002"/>
    <n v="4607.4370250000002"/>
    <n v="0"/>
    <n v="8517.5632460704182"/>
    <n v="3631.339353611701"/>
  </r>
  <r>
    <s v="Regular"/>
    <x v="3"/>
    <x v="1"/>
    <x v="6"/>
    <x v="8"/>
    <x v="0"/>
    <x v="0"/>
    <x v="1"/>
    <x v="6"/>
    <n v="0"/>
    <n v="0"/>
    <n v="17.375"/>
    <n v="16.3325"/>
    <n v="17.375"/>
    <n v="16.3325"/>
    <n v="4"/>
    <x v="0"/>
    <n v="0"/>
    <n v="0"/>
    <n v="46"/>
    <n v="84"/>
    <n v="0"/>
    <n v="306.19"/>
    <n v="242.35"/>
    <m/>
    <n v="448.02163143730991"/>
    <n v="191.00751406315655"/>
    <n v="0"/>
    <n v="5000.8481750000001"/>
    <n v="3958.1813749999997"/>
    <n v="0"/>
    <n v="7317.3132954498642"/>
    <n v="3119.6302234365044"/>
  </r>
  <r>
    <s v="Regular"/>
    <x v="3"/>
    <x v="1"/>
    <x v="6"/>
    <x v="8"/>
    <x v="0"/>
    <x v="0"/>
    <x v="1"/>
    <x v="7"/>
    <n v="0"/>
    <n v="0"/>
    <n v="19.263999999999999"/>
    <n v="18.108160000000002"/>
    <n v="19.263999999999999"/>
    <n v="18.108160000000002"/>
    <n v="4"/>
    <x v="0"/>
    <n v="0"/>
    <n v="0"/>
    <n v="46"/>
    <n v="84"/>
    <n v="0"/>
    <n v="306.19"/>
    <n v="242.35"/>
    <m/>
    <n v="448.02163143730991"/>
    <n v="191.00751406315655"/>
    <n v="0"/>
    <n v="5544.5375104000004"/>
    <n v="4388.5125760000001"/>
    <n v="0"/>
    <n v="8112.8473855278389"/>
    <n v="3458.7946258578891"/>
  </r>
  <r>
    <s v="Regular"/>
    <x v="3"/>
    <x v="1"/>
    <x v="6"/>
    <x v="8"/>
    <x v="0"/>
    <x v="0"/>
    <x v="1"/>
    <x v="8"/>
    <n v="0"/>
    <n v="0"/>
    <n v="18.681999999999999"/>
    <n v="17.56108"/>
    <n v="18.681999999999999"/>
    <n v="17.56108"/>
    <n v="4"/>
    <x v="0"/>
    <n v="0"/>
    <n v="0"/>
    <n v="46"/>
    <n v="84"/>
    <n v="0"/>
    <n v="306.19"/>
    <n v="242.35"/>
    <m/>
    <n v="448.02163143730991"/>
    <n v="191.00751406315655"/>
    <n v="0"/>
    <n v="5377.0270852000003"/>
    <n v="4255.9277380000003"/>
    <n v="0"/>
    <n v="7867.7437114011145"/>
    <n v="3354.2982350642174"/>
  </r>
  <r>
    <s v="Regular"/>
    <x v="3"/>
    <x v="1"/>
    <x v="6"/>
    <x v="8"/>
    <x v="0"/>
    <x v="0"/>
    <x v="1"/>
    <x v="9"/>
    <n v="0"/>
    <n v="0"/>
    <n v="20.315000000000001"/>
    <n v="19.0961"/>
    <n v="20.315000000000001"/>
    <n v="19.0961"/>
    <n v="4"/>
    <x v="0"/>
    <n v="0"/>
    <n v="0"/>
    <n v="46"/>
    <n v="84"/>
    <n v="0"/>
    <n v="306.19"/>
    <n v="242.35"/>
    <m/>
    <n v="448.02163143730991"/>
    <n v="191.00751406315655"/>
    <n v="0"/>
    <n v="5847.0348590000003"/>
    <n v="4627.9398350000001"/>
    <n v="0"/>
    <n v="8555.4658760900129"/>
    <n v="3647.4985893014436"/>
  </r>
  <r>
    <s v="Regular"/>
    <x v="3"/>
    <x v="1"/>
    <x v="6"/>
    <x v="8"/>
    <x v="0"/>
    <x v="0"/>
    <x v="1"/>
    <x v="10"/>
    <n v="0"/>
    <n v="0"/>
    <n v="19.311"/>
    <n v="18.152339999999999"/>
    <n v="19.311"/>
    <n v="18.152339999999999"/>
    <n v="4"/>
    <x v="0"/>
    <n v="0"/>
    <n v="0"/>
    <n v="46"/>
    <n v="84"/>
    <n v="0"/>
    <n v="306.19"/>
    <n v="242.35"/>
    <m/>
    <n v="448.02163143730991"/>
    <n v="191.00751406315655"/>
    <n v="0"/>
    <n v="5558.0649845999997"/>
    <n v="4399.219599"/>
    <n v="0"/>
    <n v="8132.6409812047377"/>
    <n v="3467.2333378291987"/>
  </r>
  <r>
    <s v="PROJETADO"/>
    <x v="3"/>
    <x v="1"/>
    <x v="6"/>
    <x v="8"/>
    <x v="0"/>
    <x v="0"/>
    <x v="1"/>
    <x v="11"/>
    <n v="0"/>
    <n v="0"/>
    <n v="19.311"/>
    <n v="18.152339999999999"/>
    <n v="19.311"/>
    <n v="18.152339999999999"/>
    <n v="4"/>
    <x v="0"/>
    <n v="0"/>
    <n v="0"/>
    <n v="46"/>
    <n v="84"/>
    <n v="0"/>
    <n v="306.19"/>
    <n v="242.35"/>
    <m/>
    <n v="448.02163143730991"/>
    <n v="191.00751406315655"/>
    <n v="0"/>
    <n v="5558.0649845999997"/>
    <n v="4399.219599"/>
    <n v="0"/>
    <n v="8132.6409812047377"/>
    <n v="3467.2333378291987"/>
  </r>
  <r>
    <s v="Regular"/>
    <x v="4"/>
    <x v="1"/>
    <x v="7"/>
    <x v="9"/>
    <x v="0"/>
    <x v="0"/>
    <x v="1"/>
    <x v="0"/>
    <n v="0"/>
    <n v="0"/>
    <n v="96.787000000000006"/>
    <n v="96.787000000000006"/>
    <n v="96.787000000000006"/>
    <n v="96.787000000000006"/>
    <n v="88"/>
    <x v="0"/>
    <n v="0"/>
    <n v="0"/>
    <n v="48"/>
    <n v="86"/>
    <n v="0"/>
    <n v="168.4"/>
    <n v="133.29"/>
    <m/>
    <n v="246.41189729052047"/>
    <n v="105.05413273473611"/>
    <n v="0"/>
    <n v="16298.930800000002"/>
    <n v="12900.739229999999"/>
    <n v="0"/>
    <n v="23849.468303057605"/>
    <n v="10167.874344996904"/>
  </r>
  <r>
    <s v="Regular"/>
    <x v="4"/>
    <x v="1"/>
    <x v="7"/>
    <x v="9"/>
    <x v="0"/>
    <x v="0"/>
    <x v="1"/>
    <x v="1"/>
    <n v="0"/>
    <n v="0"/>
    <n v="99.171999999999997"/>
    <n v="99.171999999999997"/>
    <n v="99.171999999999997"/>
    <n v="99.171999999999997"/>
    <n v="88"/>
    <x v="0"/>
    <n v="0"/>
    <n v="0"/>
    <n v="48"/>
    <n v="86"/>
    <n v="0"/>
    <n v="168.4"/>
    <n v="133.29"/>
    <m/>
    <n v="246.41189729052047"/>
    <n v="105.05413273473611"/>
    <n v="0"/>
    <n v="16700.5648"/>
    <n v="13218.635879999998"/>
    <n v="0"/>
    <n v="24437.160678095497"/>
    <n v="10418.428451569249"/>
  </r>
  <r>
    <s v="Regular"/>
    <x v="4"/>
    <x v="1"/>
    <x v="7"/>
    <x v="9"/>
    <x v="0"/>
    <x v="0"/>
    <x v="1"/>
    <x v="2"/>
    <n v="0"/>
    <n v="0"/>
    <n v="90.504000000000005"/>
    <n v="90.504000000000005"/>
    <n v="90.504000000000005"/>
    <n v="90.504000000000005"/>
    <n v="88"/>
    <x v="0"/>
    <n v="0"/>
    <n v="0"/>
    <n v="48"/>
    <n v="86"/>
    <n v="0"/>
    <n v="168.4"/>
    <n v="133.29"/>
    <m/>
    <n v="246.41189729052047"/>
    <n v="105.05413273473611"/>
    <n v="0"/>
    <n v="15240.873600000001"/>
    <n v="12063.27816"/>
    <n v="0"/>
    <n v="22301.262352381265"/>
    <n v="9507.819229024557"/>
  </r>
  <r>
    <s v="Regular"/>
    <x v="4"/>
    <x v="1"/>
    <x v="7"/>
    <x v="9"/>
    <x v="0"/>
    <x v="0"/>
    <x v="1"/>
    <x v="3"/>
    <n v="0"/>
    <n v="0"/>
    <n v="94.962000000000003"/>
    <n v="94.962000000000003"/>
    <n v="94.962000000000003"/>
    <n v="94.962000000000003"/>
    <n v="88"/>
    <x v="0"/>
    <n v="0"/>
    <n v="0"/>
    <n v="48"/>
    <n v="86"/>
    <n v="0"/>
    <n v="168.4"/>
    <n v="133.29"/>
    <m/>
    <n v="246.41189729052047"/>
    <n v="105.05413273473611"/>
    <n v="0"/>
    <n v="15991.600800000002"/>
    <n v="12657.484979999999"/>
    <n v="0"/>
    <n v="23399.766590502404"/>
    <n v="9976.1505527560112"/>
  </r>
  <r>
    <s v="Regular"/>
    <x v="4"/>
    <x v="1"/>
    <x v="7"/>
    <x v="9"/>
    <x v="0"/>
    <x v="0"/>
    <x v="1"/>
    <x v="4"/>
    <n v="0"/>
    <n v="0"/>
    <n v="92.894000000000005"/>
    <n v="92.894000000000005"/>
    <n v="92.894000000000005"/>
    <n v="92.894000000000005"/>
    <n v="88"/>
    <x v="0"/>
    <n v="0"/>
    <n v="0"/>
    <n v="48"/>
    <n v="86"/>
    <n v="0"/>
    <n v="168.4"/>
    <n v="133.29"/>
    <m/>
    <n v="246.41189729052047"/>
    <n v="105.05413273473611"/>
    <n v="0"/>
    <n v="15643.349600000001"/>
    <n v="12381.841259999999"/>
    <n v="0"/>
    <n v="22890.186786905611"/>
    <n v="9758.8986062605763"/>
  </r>
  <r>
    <s v="Regular"/>
    <x v="4"/>
    <x v="1"/>
    <x v="7"/>
    <x v="9"/>
    <x v="0"/>
    <x v="0"/>
    <x v="1"/>
    <x v="5"/>
    <n v="0"/>
    <n v="0"/>
    <n v="92.475999999999999"/>
    <n v="92.475999999999999"/>
    <n v="92.475999999999999"/>
    <n v="92.475999999999999"/>
    <n v="88"/>
    <x v="0"/>
    <n v="0"/>
    <n v="0"/>
    <n v="48"/>
    <n v="86"/>
    <n v="0"/>
    <n v="168.4"/>
    <n v="133.29"/>
    <m/>
    <n v="246.41189729052047"/>
    <n v="105.05413273473611"/>
    <n v="0"/>
    <n v="15572.9584"/>
    <n v="12326.126039999999"/>
    <n v="0"/>
    <n v="22787.18661383817"/>
    <n v="9714.9859787774567"/>
  </r>
  <r>
    <s v="Regular"/>
    <x v="4"/>
    <x v="1"/>
    <x v="7"/>
    <x v="9"/>
    <x v="0"/>
    <x v="0"/>
    <x v="1"/>
    <x v="6"/>
    <n v="0"/>
    <n v="0"/>
    <n v="92.998999999999995"/>
    <n v="92.998999999999995"/>
    <n v="92.998999999999995"/>
    <n v="92.998999999999995"/>
    <n v="88"/>
    <x v="0"/>
    <n v="0"/>
    <n v="0"/>
    <n v="48"/>
    <n v="86"/>
    <n v="0"/>
    <n v="168.4"/>
    <n v="133.29"/>
    <m/>
    <n v="246.41189729052047"/>
    <n v="105.05413273473611"/>
    <n v="0"/>
    <n v="15661.0316"/>
    <n v="12395.836709999998"/>
    <n v="0"/>
    <n v="22916.060036121111"/>
    <n v="9769.9292901977242"/>
  </r>
  <r>
    <s v="Regular"/>
    <x v="4"/>
    <x v="1"/>
    <x v="7"/>
    <x v="9"/>
    <x v="0"/>
    <x v="0"/>
    <x v="1"/>
    <x v="7"/>
    <n v="0"/>
    <n v="0"/>
    <n v="100.651"/>
    <n v="100.651"/>
    <n v="100.651"/>
    <n v="100.651"/>
    <n v="87"/>
    <x v="0"/>
    <n v="0"/>
    <n v="0"/>
    <n v="48"/>
    <n v="86"/>
    <n v="0"/>
    <n v="168.4"/>
    <n v="133.29"/>
    <m/>
    <n v="246.41189729052047"/>
    <n v="105.05413273473611"/>
    <n v="0"/>
    <n v="16949.628400000001"/>
    <n v="13415.771789999999"/>
    <n v="0"/>
    <n v="24801.603874188175"/>
    <n v="10573.803513883924"/>
  </r>
  <r>
    <s v="Regular"/>
    <x v="4"/>
    <x v="1"/>
    <x v="7"/>
    <x v="9"/>
    <x v="0"/>
    <x v="0"/>
    <x v="1"/>
    <x v="8"/>
    <n v="0"/>
    <n v="0"/>
    <n v="103.706"/>
    <n v="103.706"/>
    <n v="103.706"/>
    <n v="103.706"/>
    <n v="87"/>
    <x v="0"/>
    <n v="0"/>
    <n v="0"/>
    <n v="48"/>
    <n v="86"/>
    <n v="0"/>
    <n v="168.4"/>
    <n v="133.29"/>
    <m/>
    <n v="246.41189729052047"/>
    <n v="105.05413273473611"/>
    <n v="0"/>
    <n v="17464.090400000001"/>
    <n v="13822.972739999999"/>
    <n v="0"/>
    <n v="25554.392220410718"/>
    <n v="10894.743889388545"/>
  </r>
  <r>
    <s v="Regular"/>
    <x v="4"/>
    <x v="1"/>
    <x v="7"/>
    <x v="9"/>
    <x v="0"/>
    <x v="0"/>
    <x v="1"/>
    <x v="9"/>
    <n v="0"/>
    <n v="0"/>
    <n v="110.32899999999999"/>
    <n v="110.32899999999999"/>
    <n v="110.32899999999999"/>
    <n v="110.32899999999999"/>
    <n v="87"/>
    <x v="0"/>
    <n v="0"/>
    <n v="0"/>
    <n v="48"/>
    <n v="86"/>
    <n v="0"/>
    <n v="168.4"/>
    <n v="133.29"/>
    <m/>
    <n v="246.41189729052047"/>
    <n v="105.05413273473611"/>
    <n v="0"/>
    <n v="18579.403599999998"/>
    <n v="14705.752409999999"/>
    <n v="0"/>
    <n v="27186.378216165831"/>
    <n v="11590.5174104907"/>
  </r>
  <r>
    <s v="Regular"/>
    <x v="4"/>
    <x v="1"/>
    <x v="7"/>
    <x v="9"/>
    <x v="0"/>
    <x v="0"/>
    <x v="1"/>
    <x v="10"/>
    <n v="0"/>
    <n v="0"/>
    <n v="117.774"/>
    <n v="117.774"/>
    <n v="117.774"/>
    <n v="117.774"/>
    <n v="87"/>
    <x v="0"/>
    <n v="0"/>
    <n v="0"/>
    <n v="48"/>
    <n v="86"/>
    <n v="0"/>
    <n v="168.4"/>
    <n v="133.29"/>
    <m/>
    <n v="246.41189729052047"/>
    <n v="105.05413273473611"/>
    <n v="0"/>
    <n v="19833.141599999999"/>
    <n v="15698.096459999999"/>
    <n v="0"/>
    <n v="29020.914791493757"/>
    <n v="12372.645428700811"/>
  </r>
  <r>
    <s v="PROJETADO"/>
    <x v="4"/>
    <x v="1"/>
    <x v="7"/>
    <x v="9"/>
    <x v="0"/>
    <x v="0"/>
    <x v="1"/>
    <x v="11"/>
    <n v="0"/>
    <n v="0"/>
    <n v="117.774"/>
    <n v="117.774"/>
    <n v="117.774"/>
    <n v="117.774"/>
    <n v="87"/>
    <x v="0"/>
    <n v="0"/>
    <n v="0"/>
    <n v="48"/>
    <n v="86"/>
    <n v="0"/>
    <n v="168.4"/>
    <n v="133.29"/>
    <m/>
    <n v="246.41189729052047"/>
    <n v="105.05413273473611"/>
    <n v="0"/>
    <n v="19833.141599999999"/>
    <n v="15698.096459999999"/>
    <n v="0"/>
    <n v="29020.914791493757"/>
    <n v="12372.6454287008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3">
  <r>
    <s v="Regular"/>
    <x v="0"/>
    <x v="0"/>
    <x v="0"/>
    <x v="0"/>
    <x v="0"/>
    <x v="0"/>
    <x v="0"/>
    <x v="0"/>
    <n v="0"/>
    <n v="0"/>
    <n v="439.92200000000003"/>
    <n v="439.92200000000003"/>
    <n v="439.92200000000003"/>
    <n v="439.92200000000003"/>
    <n v="2828"/>
    <s v="CATIVO"/>
    <n v="0"/>
    <n v="0"/>
    <n v="18"/>
    <n v="56"/>
    <n v="0"/>
    <n v="306.19"/>
    <n v="242.35"/>
    <m/>
    <n v="448.02163143730991"/>
    <n v="191.00751406315655"/>
    <n v="0"/>
    <n v="0"/>
    <n v="0"/>
    <n v="0"/>
    <x v="0"/>
  </r>
  <r>
    <s v="Regular"/>
    <x v="0"/>
    <x v="0"/>
    <x v="0"/>
    <x v="1"/>
    <x v="0"/>
    <x v="0"/>
    <x v="0"/>
    <x v="0"/>
    <n v="0"/>
    <n v="0"/>
    <n v="4.9800000000000004"/>
    <n v="4.9800000000000004"/>
    <n v="4.9800000000000004"/>
    <n v="4.9800000000000004"/>
    <n v="6"/>
    <s v="CATIVO"/>
    <n v="0"/>
    <n v="0"/>
    <n v="19"/>
    <n v="57"/>
    <n v="0"/>
    <n v="83.46"/>
    <n v="84.82"/>
    <m/>
    <n v="121.42333418640717"/>
    <n v="66.852629922104782"/>
    <n v="0"/>
    <n v="1556.3496"/>
    <n v="0"/>
    <n v="1741.2837023407239"/>
    <x v="1"/>
  </r>
  <r>
    <s v="Regular"/>
    <x v="0"/>
    <x v="0"/>
    <x v="0"/>
    <x v="1"/>
    <x v="0"/>
    <x v="0"/>
    <x v="0"/>
    <x v="1"/>
    <n v="0"/>
    <n v="0"/>
    <n v="5.16"/>
    <n v="5.16"/>
    <n v="5.16"/>
    <n v="5.16"/>
    <n v="7"/>
    <s v="CATIVO"/>
    <n v="0"/>
    <n v="0"/>
    <n v="19"/>
    <n v="57"/>
    <n v="0"/>
    <n v="83.46"/>
    <n v="84.82"/>
    <m/>
    <n v="121.42333418640717"/>
    <n v="66.852629922104782"/>
    <n v="0"/>
    <n v="1612.6032"/>
    <n v="0"/>
    <n v="1804.2216674855692"/>
    <x v="1"/>
  </r>
  <r>
    <s v="Regular"/>
    <x v="0"/>
    <x v="0"/>
    <x v="0"/>
    <x v="1"/>
    <x v="0"/>
    <x v="0"/>
    <x v="0"/>
    <x v="2"/>
    <n v="0"/>
    <n v="0"/>
    <n v="5.34"/>
    <n v="5.34"/>
    <n v="5.34"/>
    <n v="5.34"/>
    <n v="9"/>
    <s v="CATIVO"/>
    <n v="0"/>
    <n v="0"/>
    <n v="19"/>
    <n v="57"/>
    <n v="0"/>
    <n v="83.46"/>
    <n v="84.82"/>
    <m/>
    <n v="121.42333418640717"/>
    <n v="66.852629922104782"/>
    <n v="0"/>
    <n v="1668.8567999999998"/>
    <n v="0"/>
    <n v="1867.1596326304145"/>
    <x v="1"/>
  </r>
  <r>
    <s v="Regular"/>
    <x v="0"/>
    <x v="0"/>
    <x v="0"/>
    <x v="1"/>
    <x v="0"/>
    <x v="0"/>
    <x v="0"/>
    <x v="3"/>
    <n v="0"/>
    <n v="0"/>
    <n v="5.37"/>
    <n v="5.37"/>
    <n v="5.37"/>
    <n v="5.37"/>
    <n v="8"/>
    <s v="CATIVO"/>
    <n v="0"/>
    <n v="0"/>
    <n v="19"/>
    <n v="57"/>
    <n v="0"/>
    <n v="83.46"/>
    <n v="84.82"/>
    <m/>
    <n v="121.42333418640717"/>
    <n v="66.852629922104782"/>
    <n v="0"/>
    <n v="1678.2323999999999"/>
    <n v="0"/>
    <n v="1877.6492934878888"/>
    <x v="1"/>
  </r>
  <r>
    <s v="Regular"/>
    <x v="0"/>
    <x v="0"/>
    <x v="0"/>
    <x v="1"/>
    <x v="0"/>
    <x v="0"/>
    <x v="0"/>
    <x v="4"/>
    <n v="0"/>
    <n v="0"/>
    <n v="5.52"/>
    <n v="5.52"/>
    <n v="5.52"/>
    <n v="5.52"/>
    <n v="6"/>
    <s v="CATIVO"/>
    <n v="0"/>
    <n v="0"/>
    <n v="19"/>
    <n v="57"/>
    <n v="0"/>
    <n v="83.46"/>
    <n v="84.82"/>
    <m/>
    <n v="121.42333418640717"/>
    <n v="66.852629922104782"/>
    <n v="0"/>
    <n v="1725.1103999999998"/>
    <n v="0"/>
    <n v="1930.0975977752598"/>
    <x v="1"/>
  </r>
  <r>
    <s v="Regular"/>
    <x v="0"/>
    <x v="0"/>
    <x v="0"/>
    <x v="1"/>
    <x v="0"/>
    <x v="0"/>
    <x v="0"/>
    <x v="5"/>
    <n v="0"/>
    <n v="0"/>
    <n v="5.76"/>
    <n v="5.76"/>
    <n v="5.76"/>
    <n v="5.76"/>
    <n v="9"/>
    <s v="CATIVO"/>
    <n v="0"/>
    <n v="0"/>
    <n v="19"/>
    <n v="57"/>
    <n v="0"/>
    <n v="83.46"/>
    <n v="84.82"/>
    <m/>
    <n v="121.42333418640717"/>
    <n v="66.852629922104782"/>
    <n v="0"/>
    <n v="1800.1151999999997"/>
    <n v="0"/>
    <n v="2014.0148846350539"/>
    <x v="1"/>
  </r>
  <r>
    <s v="Regular"/>
    <x v="0"/>
    <x v="0"/>
    <x v="0"/>
    <x v="1"/>
    <x v="0"/>
    <x v="0"/>
    <x v="0"/>
    <x v="6"/>
    <n v="0"/>
    <n v="0"/>
    <n v="7.2"/>
    <n v="7.2"/>
    <n v="7.2"/>
    <n v="7.2"/>
    <n v="12"/>
    <s v="CATIVO"/>
    <n v="0"/>
    <n v="0"/>
    <n v="19"/>
    <n v="57"/>
    <n v="0"/>
    <n v="83.46"/>
    <n v="84.82"/>
    <m/>
    <n v="121.42333418640717"/>
    <n v="66.852629922104782"/>
    <n v="0"/>
    <n v="2250.1439999999998"/>
    <n v="0"/>
    <n v="2517.5186057938176"/>
    <x v="1"/>
  </r>
  <r>
    <s v="Regular"/>
    <x v="0"/>
    <x v="0"/>
    <x v="0"/>
    <x v="1"/>
    <x v="0"/>
    <x v="0"/>
    <x v="0"/>
    <x v="7"/>
    <n v="0"/>
    <n v="0"/>
    <n v="7.5"/>
    <n v="7.5"/>
    <n v="7.5"/>
    <n v="7.5"/>
    <n v="11"/>
    <s v="CATIVO"/>
    <n v="0"/>
    <n v="0"/>
    <n v="19"/>
    <n v="57"/>
    <n v="0"/>
    <n v="83.46"/>
    <n v="84.82"/>
    <m/>
    <n v="121.42333418640717"/>
    <n v="66.852629922104782"/>
    <n v="0"/>
    <n v="2343.8999999999996"/>
    <n v="0"/>
    <n v="2622.4152143685601"/>
    <x v="1"/>
  </r>
  <r>
    <s v="Regular"/>
    <x v="0"/>
    <x v="0"/>
    <x v="0"/>
    <x v="1"/>
    <x v="0"/>
    <x v="0"/>
    <x v="0"/>
    <x v="8"/>
    <n v="0"/>
    <n v="0"/>
    <n v="8.2799999999999994"/>
    <n v="8.2799999999999994"/>
    <n v="8.2799999999999994"/>
    <n v="8.2799999999999994"/>
    <n v="13"/>
    <s v="CATIVO"/>
    <n v="0"/>
    <n v="0"/>
    <n v="19"/>
    <n v="57"/>
    <n v="0"/>
    <n v="83.46"/>
    <n v="84.82"/>
    <m/>
    <n v="121.42333418640717"/>
    <n v="66.852629922104782"/>
    <n v="0"/>
    <n v="2587.6655999999998"/>
    <n v="0"/>
    <n v="2895.1463966628899"/>
    <x v="1"/>
  </r>
  <r>
    <s v="Regular"/>
    <x v="0"/>
    <x v="0"/>
    <x v="0"/>
    <x v="1"/>
    <x v="0"/>
    <x v="0"/>
    <x v="0"/>
    <x v="9"/>
    <n v="0"/>
    <n v="0"/>
    <n v="7.7990000000000004"/>
    <n v="7.7990000000000004"/>
    <n v="7.7990000000000004"/>
    <n v="7.7990000000000004"/>
    <n v="12"/>
    <s v="CATIVO"/>
    <n v="0"/>
    <n v="0"/>
    <n v="19"/>
    <n v="57"/>
    <n v="0"/>
    <n v="83.46"/>
    <n v="84.82"/>
    <m/>
    <n v="121.42333418640717"/>
    <n v="66.852629922104782"/>
    <n v="0"/>
    <n v="2437.34348"/>
    <n v="0"/>
    <n v="2726.9621675813864"/>
    <x v="1"/>
  </r>
  <r>
    <s v="Regular"/>
    <x v="0"/>
    <x v="0"/>
    <x v="0"/>
    <x v="1"/>
    <x v="0"/>
    <x v="0"/>
    <x v="0"/>
    <x v="10"/>
    <n v="0"/>
    <n v="0"/>
    <n v="7.86"/>
    <n v="7.86"/>
    <n v="7.86"/>
    <n v="7.86"/>
    <n v="14"/>
    <s v="CATIVO"/>
    <n v="0"/>
    <n v="0"/>
    <n v="19"/>
    <n v="57"/>
    <n v="0"/>
    <n v="83.46"/>
    <n v="84.82"/>
    <m/>
    <n v="121.42333418640717"/>
    <n v="66.852629922104782"/>
    <n v="0"/>
    <n v="2456.4072000000001"/>
    <n v="0"/>
    <n v="2748.2911446582507"/>
    <x v="1"/>
  </r>
  <r>
    <s v="PROJETADO"/>
    <x v="0"/>
    <x v="0"/>
    <x v="0"/>
    <x v="1"/>
    <x v="0"/>
    <x v="0"/>
    <x v="0"/>
    <x v="11"/>
    <n v="0"/>
    <n v="0"/>
    <n v="7.86"/>
    <n v="7.86"/>
    <n v="7.86"/>
    <n v="7.86"/>
    <n v="14"/>
    <s v="CATIVO"/>
    <n v="0"/>
    <n v="0"/>
    <n v="19"/>
    <n v="57"/>
    <n v="0"/>
    <n v="83.46"/>
    <n v="84.82"/>
    <m/>
    <n v="121.42333418640717"/>
    <n v="66.852629922104782"/>
    <n v="0"/>
    <n v="2456.4072000000001"/>
    <n v="0"/>
    <n v="2748.2911446582507"/>
    <x v="1"/>
  </r>
  <r>
    <s v="Regular"/>
    <x v="0"/>
    <x v="0"/>
    <x v="0"/>
    <x v="2"/>
    <x v="0"/>
    <x v="0"/>
    <x v="0"/>
    <x v="0"/>
    <n v="0"/>
    <n v="0"/>
    <n v="10.137"/>
    <n v="10.137"/>
    <n v="10.137"/>
    <n v="10.137"/>
    <n v="36"/>
    <s v="CATIVO"/>
    <n v="0"/>
    <n v="0"/>
    <n v="20"/>
    <n v="58"/>
    <n v="0"/>
    <n v="143.07"/>
    <n v="145.41"/>
    <m/>
    <n v="208.15428717669803"/>
    <n v="114.60450843789393"/>
    <n v="0"/>
    <n v="1949.5478399999997"/>
    <n v="0"/>
    <n v="2181.203940763412"/>
    <x v="1"/>
  </r>
  <r>
    <s v="Refaturamento - Regular"/>
    <x v="0"/>
    <x v="0"/>
    <x v="0"/>
    <x v="2"/>
    <x v="0"/>
    <x v="0"/>
    <x v="0"/>
    <x v="0"/>
    <n v="0"/>
    <n v="0"/>
    <n v="-0.14000000000000001"/>
    <n v="-0.14000000000000001"/>
    <n v="-0.14000000000000001"/>
    <n v="-0.14000000000000001"/>
    <n v="0"/>
    <s v="CATIVO"/>
    <n v="0"/>
    <n v="0"/>
    <n v="20"/>
    <n v="58"/>
    <n v="0"/>
    <n v="143.07"/>
    <n v="145.41"/>
    <m/>
    <n v="208.15428717669803"/>
    <n v="114.60450843789393"/>
    <n v="0"/>
    <n v="-26.924799999999998"/>
    <n v="0"/>
    <n v="-30.124154257361912"/>
    <x v="1"/>
  </r>
  <r>
    <s v="Regular"/>
    <x v="0"/>
    <x v="0"/>
    <x v="0"/>
    <x v="2"/>
    <x v="0"/>
    <x v="0"/>
    <x v="0"/>
    <x v="1"/>
    <n v="0"/>
    <n v="0"/>
    <n v="10.64"/>
    <n v="10.64"/>
    <n v="10.64"/>
    <n v="10.64"/>
    <n v="34"/>
    <s v="CATIVO"/>
    <n v="0"/>
    <n v="0"/>
    <n v="20"/>
    <n v="58"/>
    <n v="0"/>
    <n v="143.07"/>
    <n v="145.41"/>
    <m/>
    <n v="208.15428717669803"/>
    <n v="114.60450843789393"/>
    <n v="0"/>
    <n v="2046.2847999999997"/>
    <n v="0"/>
    <n v="2289.4357235595053"/>
    <x v="1"/>
  </r>
  <r>
    <s v="Regular"/>
    <x v="0"/>
    <x v="0"/>
    <x v="0"/>
    <x v="2"/>
    <x v="0"/>
    <x v="0"/>
    <x v="0"/>
    <x v="2"/>
    <n v="0"/>
    <n v="0"/>
    <n v="10.894"/>
    <n v="10.894"/>
    <n v="10.894"/>
    <n v="10.894"/>
    <n v="40"/>
    <s v="CATIVO"/>
    <n v="0"/>
    <n v="0"/>
    <n v="20"/>
    <n v="58"/>
    <n v="0"/>
    <n v="143.07"/>
    <n v="145.41"/>
    <m/>
    <n v="208.15428717669803"/>
    <n v="114.60450843789393"/>
    <n v="0"/>
    <n v="2095.1340799999998"/>
    <n v="0"/>
    <n v="2344.0895462835761"/>
    <x v="1"/>
  </r>
  <r>
    <s v="Regular"/>
    <x v="0"/>
    <x v="0"/>
    <x v="0"/>
    <x v="2"/>
    <x v="0"/>
    <x v="0"/>
    <x v="0"/>
    <x v="3"/>
    <n v="0"/>
    <n v="0"/>
    <n v="11.026"/>
    <n v="11.026"/>
    <n v="11.026"/>
    <n v="11.026"/>
    <n v="37"/>
    <s v="CATIVO"/>
    <n v="0"/>
    <n v="0"/>
    <n v="20"/>
    <n v="58"/>
    <n v="0"/>
    <n v="143.07"/>
    <n v="145.41"/>
    <m/>
    <n v="208.15428717669803"/>
    <n v="114.60450843789393"/>
    <n v="0"/>
    <n v="2120.5203199999996"/>
    <n v="0"/>
    <n v="2372.4923202976602"/>
    <x v="1"/>
  </r>
  <r>
    <s v="Regular"/>
    <x v="0"/>
    <x v="0"/>
    <x v="0"/>
    <x v="2"/>
    <x v="0"/>
    <x v="0"/>
    <x v="0"/>
    <x v="4"/>
    <n v="0"/>
    <n v="0"/>
    <n v="11.669"/>
    <n v="11.669"/>
    <n v="11.669"/>
    <n v="11.669"/>
    <n v="37"/>
    <s v="CATIVO"/>
    <n v="0"/>
    <n v="0"/>
    <n v="20"/>
    <n v="58"/>
    <n v="0"/>
    <n v="143.07"/>
    <n v="145.41"/>
    <m/>
    <n v="208.15428717669803"/>
    <n v="114.60450843789393"/>
    <n v="0"/>
    <n v="2244.1820799999996"/>
    <n v="0"/>
    <n v="2510.8482573511151"/>
    <x v="1"/>
  </r>
  <r>
    <s v="Regular"/>
    <x v="0"/>
    <x v="0"/>
    <x v="0"/>
    <x v="2"/>
    <x v="0"/>
    <x v="0"/>
    <x v="0"/>
    <x v="5"/>
    <n v="0"/>
    <n v="0"/>
    <n v="12.263"/>
    <n v="12.263"/>
    <n v="12.263"/>
    <n v="12.263"/>
    <n v="22"/>
    <s v="CATIVO"/>
    <n v="0"/>
    <n v="0"/>
    <n v="20"/>
    <n v="58"/>
    <n v="0"/>
    <n v="143.07"/>
    <n v="145.41"/>
    <m/>
    <n v="208.15428717669803"/>
    <n v="114.60450843789393"/>
    <n v="0"/>
    <n v="2358.4201599999997"/>
    <n v="0"/>
    <n v="2638.6607404144934"/>
    <x v="1"/>
  </r>
  <r>
    <s v="Regular"/>
    <x v="0"/>
    <x v="0"/>
    <x v="0"/>
    <x v="2"/>
    <x v="0"/>
    <x v="0"/>
    <x v="0"/>
    <x v="6"/>
    <n v="0"/>
    <n v="0"/>
    <n v="14.694000000000001"/>
    <n v="14.694000000000001"/>
    <n v="14.694000000000001"/>
    <n v="14.694000000000001"/>
    <n v="44"/>
    <s v="CATIVO"/>
    <n v="0"/>
    <n v="0"/>
    <n v="20"/>
    <n v="58"/>
    <n v="0"/>
    <n v="143.07"/>
    <n v="145.41"/>
    <m/>
    <n v="208.15428717669803"/>
    <n v="114.60450843789393"/>
    <n v="0"/>
    <n v="2825.9500799999996"/>
    <n v="0"/>
    <n v="3161.7451618405426"/>
    <x v="1"/>
  </r>
  <r>
    <s v="Refaturamento - Regular"/>
    <x v="0"/>
    <x v="0"/>
    <x v="0"/>
    <x v="2"/>
    <x v="0"/>
    <x v="0"/>
    <x v="0"/>
    <x v="6"/>
    <n v="0"/>
    <n v="0"/>
    <n v="-5.0000000000000001E-3"/>
    <n v="-5.0000000000000001E-3"/>
    <n v="-5.0000000000000001E-3"/>
    <n v="-5.0000000000000001E-3"/>
    <n v="0"/>
    <s v="CATIVO"/>
    <n v="0"/>
    <n v="0"/>
    <n v="20"/>
    <n v="58"/>
    <n v="0"/>
    <n v="143.07"/>
    <n v="145.41"/>
    <m/>
    <n v="208.15428717669803"/>
    <n v="114.60450843789393"/>
    <n v="0"/>
    <n v="-0.9615999999999999"/>
    <n v="0"/>
    <n v="-1.0758626520486396"/>
    <x v="1"/>
  </r>
  <r>
    <s v="Regular"/>
    <x v="0"/>
    <x v="0"/>
    <x v="0"/>
    <x v="2"/>
    <x v="0"/>
    <x v="0"/>
    <x v="0"/>
    <x v="7"/>
    <n v="0"/>
    <n v="0"/>
    <n v="15.435"/>
    <n v="15.435"/>
    <n v="15.435"/>
    <n v="15.435"/>
    <n v="48"/>
    <s v="CATIVO"/>
    <n v="0"/>
    <n v="0"/>
    <n v="20"/>
    <n v="58"/>
    <n v="0"/>
    <n v="143.07"/>
    <n v="145.41"/>
    <m/>
    <n v="208.15428717669803"/>
    <n v="114.60450843789393"/>
    <n v="0"/>
    <n v="2968.4591999999993"/>
    <n v="0"/>
    <n v="3321.1880068741507"/>
    <x v="1"/>
  </r>
  <r>
    <s v="Regular"/>
    <x v="0"/>
    <x v="0"/>
    <x v="0"/>
    <x v="2"/>
    <x v="0"/>
    <x v="0"/>
    <x v="0"/>
    <x v="8"/>
    <n v="0"/>
    <n v="0"/>
    <n v="16.388000000000002"/>
    <n v="16.388000000000002"/>
    <n v="16.388000000000002"/>
    <n v="16.388000000000002"/>
    <n v="74"/>
    <s v="CATIVO"/>
    <n v="0"/>
    <n v="0"/>
    <n v="20"/>
    <n v="58"/>
    <n v="0"/>
    <n v="143.07"/>
    <n v="145.41"/>
    <m/>
    <n v="208.15428717669803"/>
    <n v="114.60450843789393"/>
    <n v="0"/>
    <n v="3151.7401599999998"/>
    <n v="0"/>
    <n v="3526.2474283546217"/>
    <x v="1"/>
  </r>
  <r>
    <s v="Regular"/>
    <x v="0"/>
    <x v="0"/>
    <x v="0"/>
    <x v="2"/>
    <x v="0"/>
    <x v="0"/>
    <x v="0"/>
    <x v="9"/>
    <n v="0"/>
    <n v="0"/>
    <n v="15.46"/>
    <n v="15.46"/>
    <n v="15.46"/>
    <n v="15.46"/>
    <n v="60"/>
    <s v="CATIVO"/>
    <n v="0"/>
    <n v="0"/>
    <n v="20"/>
    <n v="58"/>
    <n v="0"/>
    <n v="143.07"/>
    <n v="145.41"/>
    <m/>
    <n v="208.15428717669803"/>
    <n v="114.60450843789393"/>
    <n v="0"/>
    <n v="2973.2671999999998"/>
    <n v="0"/>
    <n v="3326.5673201343939"/>
    <x v="1"/>
  </r>
  <r>
    <s v="Regular"/>
    <x v="0"/>
    <x v="0"/>
    <x v="0"/>
    <x v="2"/>
    <x v="0"/>
    <x v="0"/>
    <x v="0"/>
    <x v="10"/>
    <n v="0"/>
    <n v="0"/>
    <n v="15.704000000000001"/>
    <n v="15.704000000000001"/>
    <n v="15.704000000000001"/>
    <n v="15.704000000000001"/>
    <n v="59"/>
    <s v="CATIVO"/>
    <n v="0"/>
    <n v="0"/>
    <n v="20"/>
    <n v="58"/>
    <n v="0"/>
    <n v="143.07"/>
    <n v="145.41"/>
    <m/>
    <n v="208.15428717669803"/>
    <n v="114.60450843789393"/>
    <n v="0"/>
    <n v="3020.1932799999995"/>
    <n v="0"/>
    <n v="3379.0694175543676"/>
    <x v="1"/>
  </r>
  <r>
    <s v="PROJETADO"/>
    <x v="0"/>
    <x v="0"/>
    <x v="0"/>
    <x v="2"/>
    <x v="0"/>
    <x v="0"/>
    <x v="0"/>
    <x v="11"/>
    <n v="0"/>
    <n v="0"/>
    <n v="15.704000000000001"/>
    <n v="15.704000000000001"/>
    <n v="15.704000000000001"/>
    <n v="15.704000000000001"/>
    <n v="59"/>
    <s v="CATIVO"/>
    <n v="0"/>
    <n v="0"/>
    <n v="20"/>
    <n v="58"/>
    <n v="0"/>
    <n v="143.07"/>
    <n v="145.41"/>
    <m/>
    <n v="208.15428717669803"/>
    <n v="114.60450843789393"/>
    <n v="0"/>
    <n v="3020.1932799999995"/>
    <n v="0"/>
    <n v="3379.0694175543676"/>
    <x v="1"/>
  </r>
  <r>
    <s v="Regular"/>
    <x v="0"/>
    <x v="0"/>
    <x v="0"/>
    <x v="3"/>
    <x v="0"/>
    <x v="0"/>
    <x v="0"/>
    <x v="0"/>
    <n v="0"/>
    <n v="0"/>
    <n v="8.66"/>
    <n v="8.66"/>
    <n v="8.66"/>
    <n v="8.66"/>
    <n v="94"/>
    <s v="CATIVO"/>
    <n v="0"/>
    <n v="0"/>
    <n v="21"/>
    <n v="59"/>
    <n v="0"/>
    <n v="214.6"/>
    <n v="218.11"/>
    <m/>
    <n v="312.23143076504704"/>
    <n v="171.9067626568409"/>
    <n v="0"/>
    <n v="416.45939999999928"/>
    <n v="0"/>
    <n v="465.84852833706083"/>
    <x v="1"/>
  </r>
  <r>
    <s v="Refaturamento - Regular"/>
    <x v="0"/>
    <x v="0"/>
    <x v="0"/>
    <x v="3"/>
    <x v="0"/>
    <x v="0"/>
    <x v="0"/>
    <x v="0"/>
    <n v="0"/>
    <n v="0"/>
    <n v="-0.22600000000000001"/>
    <n v="-0.22600000000000001"/>
    <n v="-0.22600000000000001"/>
    <n v="-0.22600000000000001"/>
    <n v="0"/>
    <s v="CATIVO"/>
    <n v="0"/>
    <n v="0"/>
    <n v="21"/>
    <n v="59"/>
    <n v="0"/>
    <n v="214.6"/>
    <n v="218.11"/>
    <m/>
    <n v="312.23143076504704"/>
    <n v="171.9067626568409"/>
    <n v="0"/>
    <n v="-10.868339999999982"/>
    <n v="0"/>
    <n v="-12.157247968149624"/>
    <x v="1"/>
  </r>
  <r>
    <s v="Regular"/>
    <x v="0"/>
    <x v="0"/>
    <x v="0"/>
    <x v="3"/>
    <x v="0"/>
    <x v="0"/>
    <x v="0"/>
    <x v="1"/>
    <n v="0"/>
    <n v="0"/>
    <n v="9.8420000000000005"/>
    <n v="9.8420000000000005"/>
    <n v="9.8420000000000005"/>
    <n v="9.8420000000000005"/>
    <n v="91"/>
    <s v="CATIVO"/>
    <n v="0"/>
    <n v="0"/>
    <n v="21"/>
    <n v="59"/>
    <n v="0"/>
    <n v="214.6"/>
    <n v="218.11"/>
    <m/>
    <n v="312.23143076504704"/>
    <n v="171.9067626568409"/>
    <n v="0"/>
    <n v="473.30177999999921"/>
    <n v="0"/>
    <n v="529.43201107313541"/>
    <x v="1"/>
  </r>
  <r>
    <s v="Regular"/>
    <x v="0"/>
    <x v="0"/>
    <x v="0"/>
    <x v="3"/>
    <x v="0"/>
    <x v="0"/>
    <x v="0"/>
    <x v="2"/>
    <n v="0"/>
    <n v="0"/>
    <n v="9.7710000000000008"/>
    <n v="9.7710000000000008"/>
    <n v="9.7710000000000008"/>
    <n v="9.7710000000000008"/>
    <n v="93"/>
    <s v="CATIVO"/>
    <n v="0"/>
    <n v="0"/>
    <n v="21"/>
    <n v="59"/>
    <n v="0"/>
    <n v="214.6"/>
    <n v="218.11"/>
    <m/>
    <n v="312.23143076504704"/>
    <n v="171.9067626568409"/>
    <n v="0"/>
    <n v="469.88738999999924"/>
    <n v="0"/>
    <n v="525.61269865836277"/>
    <x v="1"/>
  </r>
  <r>
    <s v="Regular"/>
    <x v="0"/>
    <x v="0"/>
    <x v="0"/>
    <x v="3"/>
    <x v="0"/>
    <x v="0"/>
    <x v="0"/>
    <x v="3"/>
    <n v="0"/>
    <n v="0"/>
    <n v="10.201000000000001"/>
    <n v="10.201000000000001"/>
    <n v="10.201000000000001"/>
    <n v="10.201000000000001"/>
    <n v="100"/>
    <s v="CATIVO"/>
    <n v="0"/>
    <n v="0"/>
    <n v="21"/>
    <n v="59"/>
    <n v="0"/>
    <n v="214.6"/>
    <n v="218.11"/>
    <m/>
    <n v="312.23143076504704"/>
    <n v="171.9067626568409"/>
    <n v="0"/>
    <n v="490.56608999999918"/>
    <n v="0"/>
    <n v="548.74374567740858"/>
    <x v="1"/>
  </r>
  <r>
    <s v="Regular"/>
    <x v="0"/>
    <x v="0"/>
    <x v="0"/>
    <x v="3"/>
    <x v="0"/>
    <x v="0"/>
    <x v="0"/>
    <x v="4"/>
    <n v="0"/>
    <n v="0"/>
    <n v="11.513999999999999"/>
    <n v="11.513999999999999"/>
    <n v="11.513999999999999"/>
    <n v="11.513999999999999"/>
    <n v="88"/>
    <s v="CATIVO"/>
    <n v="0"/>
    <n v="0"/>
    <n v="21"/>
    <n v="59"/>
    <n v="0"/>
    <n v="214.6"/>
    <n v="218.11"/>
    <m/>
    <n v="312.23143076504704"/>
    <n v="171.9067626568409"/>
    <n v="0"/>
    <n v="553.70825999999897"/>
    <n v="0"/>
    <n v="619.37412878440159"/>
    <x v="1"/>
  </r>
  <r>
    <s v="Regular"/>
    <x v="0"/>
    <x v="0"/>
    <x v="0"/>
    <x v="3"/>
    <x v="0"/>
    <x v="0"/>
    <x v="0"/>
    <x v="5"/>
    <n v="0"/>
    <n v="0"/>
    <n v="14.289"/>
    <n v="14.289"/>
    <n v="14.289"/>
    <n v="14.289"/>
    <n v="85"/>
    <s v="CATIVO"/>
    <n v="0"/>
    <n v="0"/>
    <n v="21"/>
    <n v="59"/>
    <n v="0"/>
    <n v="214.6"/>
    <n v="218.11"/>
    <m/>
    <n v="312.23143076504704"/>
    <n v="171.9067626568409"/>
    <n v="0"/>
    <n v="687.15800999999885"/>
    <n v="0"/>
    <n v="768.6500717561504"/>
    <x v="1"/>
  </r>
  <r>
    <s v="Regular"/>
    <x v="0"/>
    <x v="0"/>
    <x v="0"/>
    <x v="3"/>
    <x v="0"/>
    <x v="0"/>
    <x v="0"/>
    <x v="6"/>
    <n v="0"/>
    <n v="0"/>
    <n v="14.22"/>
    <n v="14.22"/>
    <n v="14.22"/>
    <n v="14.22"/>
    <n v="118"/>
    <s v="CATIVO"/>
    <n v="0"/>
    <n v="0"/>
    <n v="21"/>
    <n v="59"/>
    <n v="0"/>
    <n v="214.6"/>
    <n v="218.11"/>
    <m/>
    <n v="312.23143076504704"/>
    <n v="171.9067626568409"/>
    <n v="0"/>
    <n v="683.83979999999883"/>
    <n v="0"/>
    <n v="764.93834560658263"/>
    <x v="1"/>
  </r>
  <r>
    <s v="Refaturamento - Regular"/>
    <x v="0"/>
    <x v="0"/>
    <x v="0"/>
    <x v="3"/>
    <x v="0"/>
    <x v="0"/>
    <x v="0"/>
    <x v="6"/>
    <n v="0"/>
    <n v="0"/>
    <n v="-0.14499999999999999"/>
    <n v="-0.14499999999999999"/>
    <n v="-0.14499999999999999"/>
    <n v="-0.14499999999999999"/>
    <n v="0"/>
    <s v="CATIVO"/>
    <n v="0"/>
    <n v="0"/>
    <n v="21"/>
    <n v="59"/>
    <n v="0"/>
    <n v="214.6"/>
    <n v="218.11"/>
    <m/>
    <n v="312.23143076504704"/>
    <n v="171.9067626568409"/>
    <n v="0"/>
    <n v="-6.9730499999999873"/>
    <n v="0"/>
    <n v="-7.8000042273526349"/>
    <x v="1"/>
  </r>
  <r>
    <s v="Regular"/>
    <x v="0"/>
    <x v="0"/>
    <x v="0"/>
    <x v="3"/>
    <x v="0"/>
    <x v="0"/>
    <x v="0"/>
    <x v="7"/>
    <n v="0"/>
    <n v="0"/>
    <n v="14.488"/>
    <n v="14.488"/>
    <n v="14.488"/>
    <n v="14.488"/>
    <n v="134"/>
    <s v="CATIVO"/>
    <n v="0"/>
    <n v="0"/>
    <n v="21"/>
    <n v="59"/>
    <n v="0"/>
    <n v="214.6"/>
    <n v="218.11"/>
    <m/>
    <n v="312.23143076504704"/>
    <n v="171.9067626568409"/>
    <n v="0"/>
    <n v="696.72791999999879"/>
    <n v="0"/>
    <n v="779.35490514403432"/>
    <x v="1"/>
  </r>
  <r>
    <s v="Regular"/>
    <x v="0"/>
    <x v="0"/>
    <x v="0"/>
    <x v="3"/>
    <x v="0"/>
    <x v="0"/>
    <x v="0"/>
    <x v="8"/>
    <n v="0"/>
    <n v="0"/>
    <n v="12.88"/>
    <n v="12.88"/>
    <n v="12.88"/>
    <n v="12.88"/>
    <n v="152"/>
    <s v="CATIVO"/>
    <n v="0"/>
    <n v="0"/>
    <n v="21"/>
    <n v="59"/>
    <n v="0"/>
    <n v="214.6"/>
    <n v="218.11"/>
    <m/>
    <n v="312.23143076504704"/>
    <n v="171.9067626568409"/>
    <n v="0"/>
    <n v="619.39919999999893"/>
    <n v="0"/>
    <n v="692.85554791932373"/>
    <x v="1"/>
  </r>
  <r>
    <s v="Regular"/>
    <x v="0"/>
    <x v="0"/>
    <x v="0"/>
    <x v="3"/>
    <x v="0"/>
    <x v="0"/>
    <x v="0"/>
    <x v="9"/>
    <n v="0"/>
    <n v="0"/>
    <n v="14.611000000000001"/>
    <n v="14.611000000000001"/>
    <n v="14.611000000000001"/>
    <n v="14.611000000000001"/>
    <n v="123"/>
    <s v="CATIVO"/>
    <n v="0"/>
    <n v="0"/>
    <n v="21"/>
    <n v="59"/>
    <n v="0"/>
    <n v="214.6"/>
    <n v="218.11"/>
    <m/>
    <n v="312.23143076504704"/>
    <n v="171.9067626568409"/>
    <n v="0"/>
    <n v="702.6429899999988"/>
    <n v="0"/>
    <n v="785.97146045413353"/>
    <x v="1"/>
  </r>
  <r>
    <s v="Regular"/>
    <x v="0"/>
    <x v="0"/>
    <x v="0"/>
    <x v="3"/>
    <x v="0"/>
    <x v="0"/>
    <x v="0"/>
    <x v="10"/>
    <n v="0"/>
    <n v="0"/>
    <n v="14.917"/>
    <n v="14.917"/>
    <n v="14.917"/>
    <n v="14.917"/>
    <n v="124"/>
    <s v="CATIVO"/>
    <n v="0"/>
    <n v="0"/>
    <n v="21"/>
    <n v="59"/>
    <n v="0"/>
    <n v="214.6"/>
    <n v="218.11"/>
    <m/>
    <n v="312.23143076504704"/>
    <n v="171.9067626568409"/>
    <n v="0"/>
    <n v="717.35852999999872"/>
    <n v="0"/>
    <n v="802.43215903047769"/>
    <x v="1"/>
  </r>
  <r>
    <s v="PROJETADO"/>
    <x v="0"/>
    <x v="0"/>
    <x v="0"/>
    <x v="3"/>
    <x v="0"/>
    <x v="0"/>
    <x v="0"/>
    <x v="11"/>
    <n v="0"/>
    <n v="0"/>
    <n v="14.917"/>
    <n v="14.917"/>
    <n v="14.917"/>
    <n v="14.917"/>
    <n v="124"/>
    <s v="CATIVO"/>
    <n v="0"/>
    <n v="0"/>
    <n v="21"/>
    <n v="59"/>
    <n v="0"/>
    <n v="214.6"/>
    <n v="218.11"/>
    <m/>
    <n v="312.23143076504704"/>
    <n v="171.9067626568409"/>
    <n v="0"/>
    <n v="717.35852999999872"/>
    <n v="0"/>
    <n v="802.43215903047769"/>
    <x v="1"/>
  </r>
  <r>
    <s v="Regular"/>
    <x v="0"/>
    <x v="0"/>
    <x v="0"/>
    <x v="4"/>
    <x v="0"/>
    <x v="0"/>
    <x v="0"/>
    <x v="0"/>
    <n v="0"/>
    <n v="0"/>
    <n v="1.9179999999999999"/>
    <n v="1.9179999999999999"/>
    <n v="1.9179999999999999"/>
    <n v="1.9179999999999999"/>
    <n v="30"/>
    <s v="CATIVO"/>
    <n v="0"/>
    <n v="0"/>
    <n v="22"/>
    <n v="60"/>
    <n v="0"/>
    <n v="238.45"/>
    <n v="242.35"/>
    <m/>
    <n v="346.92381196116338"/>
    <n v="191.00751406315655"/>
    <n v="0"/>
    <n v="-5.4512838687514884E-14"/>
    <n v="0"/>
    <n v="-5.4512838687514884E-14"/>
    <x v="1"/>
  </r>
  <r>
    <s v="Refaturamento - Regular"/>
    <x v="0"/>
    <x v="0"/>
    <x v="0"/>
    <x v="4"/>
    <x v="0"/>
    <x v="0"/>
    <x v="0"/>
    <x v="0"/>
    <n v="0"/>
    <n v="0"/>
    <n v="-8.9999999999999993E-3"/>
    <n v="-8.9999999999999993E-3"/>
    <n v="-8.9999999999999993E-3"/>
    <n v="-8.9999999999999993E-3"/>
    <n v="0"/>
    <s v="CATIVO"/>
    <n v="0"/>
    <n v="0"/>
    <n v="22"/>
    <n v="60"/>
    <n v="0"/>
    <n v="238.45"/>
    <n v="242.35"/>
    <m/>
    <n v="346.92381196116338"/>
    <n v="191.00751406315655"/>
    <n v="0"/>
    <n v="2.5579538487363605E-16"/>
    <n v="0"/>
    <n v="2.5579538487363605E-16"/>
    <x v="1"/>
  </r>
  <r>
    <s v="Regular"/>
    <x v="0"/>
    <x v="0"/>
    <x v="0"/>
    <x v="4"/>
    <x v="0"/>
    <x v="0"/>
    <x v="0"/>
    <x v="1"/>
    <n v="0"/>
    <n v="0"/>
    <n v="3.2509999999999999"/>
    <n v="3.2509999999999999"/>
    <n v="3.2509999999999999"/>
    <n v="3.2509999999999999"/>
    <n v="39"/>
    <s v="CATIVO"/>
    <n v="0"/>
    <n v="0"/>
    <n v="22"/>
    <n v="60"/>
    <n v="0"/>
    <n v="238.45"/>
    <n v="242.35"/>
    <m/>
    <n v="346.92381196116338"/>
    <n v="191.00751406315655"/>
    <n v="0"/>
    <n v="-9.2398977358243425E-14"/>
    <n v="0"/>
    <n v="-9.2398977358243425E-14"/>
    <x v="1"/>
  </r>
  <r>
    <s v="Regular"/>
    <x v="0"/>
    <x v="0"/>
    <x v="0"/>
    <x v="4"/>
    <x v="0"/>
    <x v="0"/>
    <x v="0"/>
    <x v="2"/>
    <n v="0"/>
    <n v="0"/>
    <n v="2.9319999999999999"/>
    <n v="2.9319999999999999"/>
    <n v="2.9319999999999999"/>
    <n v="2.9319999999999999"/>
    <n v="36"/>
    <s v="CATIVO"/>
    <n v="0"/>
    <n v="0"/>
    <n v="22"/>
    <n v="60"/>
    <n v="0"/>
    <n v="238.45"/>
    <n v="242.35"/>
    <m/>
    <n v="346.92381196116338"/>
    <n v="191.00751406315655"/>
    <n v="0"/>
    <n v="-8.3332452049944548E-14"/>
    <n v="0"/>
    <n v="-8.3332452049944548E-14"/>
    <x v="1"/>
  </r>
  <r>
    <s v="Regular"/>
    <x v="0"/>
    <x v="0"/>
    <x v="0"/>
    <x v="4"/>
    <x v="0"/>
    <x v="0"/>
    <x v="0"/>
    <x v="3"/>
    <n v="0"/>
    <n v="0"/>
    <n v="2.6139999999999999"/>
    <n v="2.6139999999999999"/>
    <n v="2.6139999999999999"/>
    <n v="2.6139999999999999"/>
    <n v="34"/>
    <s v="CATIVO"/>
    <n v="0"/>
    <n v="0"/>
    <n v="22"/>
    <n v="60"/>
    <n v="0"/>
    <n v="238.45"/>
    <n v="242.35"/>
    <m/>
    <n v="346.92381196116338"/>
    <n v="191.00751406315655"/>
    <n v="0"/>
    <n v="-7.4294348451076072E-14"/>
    <n v="0"/>
    <n v="-7.4294348451076072E-14"/>
    <x v="1"/>
  </r>
  <r>
    <s v="Regular"/>
    <x v="0"/>
    <x v="0"/>
    <x v="0"/>
    <x v="4"/>
    <x v="0"/>
    <x v="0"/>
    <x v="0"/>
    <x v="4"/>
    <n v="0"/>
    <n v="0"/>
    <n v="4.2629999999999999"/>
    <n v="4.2629999999999999"/>
    <n v="4.2629999999999999"/>
    <n v="4.2629999999999999"/>
    <n v="53"/>
    <s v="CATIVO"/>
    <n v="0"/>
    <n v="0"/>
    <n v="22"/>
    <n v="60"/>
    <n v="0"/>
    <n v="238.45"/>
    <n v="242.35"/>
    <m/>
    <n v="346.92381196116338"/>
    <n v="191.00751406315655"/>
    <n v="0"/>
    <n v="-1.2116174730181228E-13"/>
    <n v="0"/>
    <n v="-1.2116174730181228E-13"/>
    <x v="1"/>
  </r>
  <r>
    <s v="Regular"/>
    <x v="0"/>
    <x v="0"/>
    <x v="0"/>
    <x v="4"/>
    <x v="0"/>
    <x v="0"/>
    <x v="0"/>
    <x v="5"/>
    <n v="0"/>
    <n v="0"/>
    <n v="9.2530000000000001"/>
    <n v="9.2530000000000001"/>
    <n v="9.2530000000000001"/>
    <n v="9.2530000000000001"/>
    <n v="76"/>
    <s v="CATIVO"/>
    <n v="0"/>
    <n v="0"/>
    <n v="22"/>
    <n v="60"/>
    <n v="0"/>
    <n v="238.45"/>
    <n v="242.35"/>
    <m/>
    <n v="346.92381196116338"/>
    <n v="191.00751406315655"/>
    <n v="0"/>
    <n v="-2.6298607735952828E-13"/>
    <n v="0"/>
    <n v="-2.6298607735952828E-13"/>
    <x v="1"/>
  </r>
  <r>
    <s v="Regular"/>
    <x v="0"/>
    <x v="0"/>
    <x v="0"/>
    <x v="4"/>
    <x v="0"/>
    <x v="0"/>
    <x v="0"/>
    <x v="6"/>
    <n v="0"/>
    <n v="0"/>
    <n v="5.7759999999999998"/>
    <n v="5.7759999999999998"/>
    <n v="5.7759999999999998"/>
    <n v="5.7759999999999998"/>
    <n v="66"/>
    <s v="CATIVO"/>
    <n v="0"/>
    <n v="0"/>
    <n v="22"/>
    <n v="60"/>
    <n v="0"/>
    <n v="238.45"/>
    <n v="242.35"/>
    <m/>
    <n v="346.92381196116338"/>
    <n v="191.00751406315655"/>
    <n v="0"/>
    <n v="-1.6416379367001354E-13"/>
    <n v="0"/>
    <n v="-1.6416379367001354E-13"/>
    <x v="1"/>
  </r>
  <r>
    <s v="Refaturamento - Regular"/>
    <x v="0"/>
    <x v="0"/>
    <x v="0"/>
    <x v="4"/>
    <x v="0"/>
    <x v="0"/>
    <x v="0"/>
    <x v="6"/>
    <n v="0"/>
    <n v="0"/>
    <n v="-0.21"/>
    <n v="-0.21"/>
    <n v="-0.21"/>
    <n v="-0.21"/>
    <n v="0"/>
    <s v="CATIVO"/>
    <n v="0"/>
    <n v="0"/>
    <n v="22"/>
    <n v="60"/>
    <n v="0"/>
    <n v="238.45"/>
    <n v="242.35"/>
    <m/>
    <n v="346.92381196116338"/>
    <n v="191.00751406315655"/>
    <n v="0"/>
    <n v="5.9685589803848413E-15"/>
    <n v="0"/>
    <n v="5.9685589803848413E-15"/>
    <x v="1"/>
  </r>
  <r>
    <s v="Regular"/>
    <x v="0"/>
    <x v="0"/>
    <x v="0"/>
    <x v="4"/>
    <x v="0"/>
    <x v="0"/>
    <x v="0"/>
    <x v="7"/>
    <n v="0"/>
    <n v="0"/>
    <n v="4.3879999999999999"/>
    <n v="4.3879999999999999"/>
    <n v="4.3879999999999999"/>
    <n v="4.3879999999999999"/>
    <n v="57"/>
    <s v="CATIVO"/>
    <n v="0"/>
    <n v="0"/>
    <n v="22"/>
    <n v="60"/>
    <n v="0"/>
    <n v="238.45"/>
    <n v="242.35"/>
    <m/>
    <n v="346.92381196116338"/>
    <n v="191.00751406315655"/>
    <n v="0"/>
    <n v="-1.2471446098061278E-13"/>
    <n v="0"/>
    <n v="-1.2471446098061278E-13"/>
    <x v="1"/>
  </r>
  <r>
    <s v="Regular"/>
    <x v="0"/>
    <x v="0"/>
    <x v="0"/>
    <x v="4"/>
    <x v="0"/>
    <x v="0"/>
    <x v="0"/>
    <x v="8"/>
    <n v="0"/>
    <n v="0"/>
    <n v="2.4380000000000002"/>
    <n v="2.4380000000000002"/>
    <n v="2.4380000000000002"/>
    <n v="2.4380000000000002"/>
    <n v="37"/>
    <s v="CATIVO"/>
    <n v="0"/>
    <n v="0"/>
    <n v="22"/>
    <n v="60"/>
    <n v="0"/>
    <n v="238.45"/>
    <n v="242.35"/>
    <m/>
    <n v="346.92381196116338"/>
    <n v="191.00751406315655"/>
    <n v="0"/>
    <n v="-6.9292127591324975E-14"/>
    <n v="0"/>
    <n v="-6.9292127591324975E-14"/>
    <x v="1"/>
  </r>
  <r>
    <s v="Regular"/>
    <x v="0"/>
    <x v="0"/>
    <x v="0"/>
    <x v="4"/>
    <x v="0"/>
    <x v="0"/>
    <x v="0"/>
    <x v="9"/>
    <n v="0"/>
    <n v="0"/>
    <n v="3.9569999999999999"/>
    <n v="3.9569999999999999"/>
    <n v="3.9569999999999999"/>
    <n v="3.9569999999999999"/>
    <n v="65"/>
    <s v="CATIVO"/>
    <n v="0"/>
    <n v="0"/>
    <n v="22"/>
    <n v="60"/>
    <n v="0"/>
    <n v="238.45"/>
    <n v="242.35"/>
    <m/>
    <n v="346.92381196116338"/>
    <n v="191.00751406315655"/>
    <n v="0"/>
    <n v="-1.1246470421610865E-13"/>
    <n v="0"/>
    <n v="-1.1246470421610865E-13"/>
    <x v="1"/>
  </r>
  <r>
    <s v="Regular"/>
    <x v="0"/>
    <x v="0"/>
    <x v="0"/>
    <x v="4"/>
    <x v="0"/>
    <x v="0"/>
    <x v="0"/>
    <x v="10"/>
    <n v="0"/>
    <n v="0"/>
    <n v="4.8789999999999996"/>
    <n v="4.8789999999999996"/>
    <n v="4.8789999999999996"/>
    <n v="4.8789999999999996"/>
    <n v="65"/>
    <s v="CATIVO"/>
    <n v="0"/>
    <n v="0"/>
    <n v="22"/>
    <n v="60"/>
    <n v="0"/>
    <n v="238.45"/>
    <n v="242.35"/>
    <m/>
    <n v="346.92381196116338"/>
    <n v="191.00751406315655"/>
    <n v="0"/>
    <n v="-1.3866952031094114E-13"/>
    <n v="0"/>
    <n v="-1.3866952031094114E-13"/>
    <x v="1"/>
  </r>
  <r>
    <s v="PROJETADO"/>
    <x v="0"/>
    <x v="0"/>
    <x v="0"/>
    <x v="4"/>
    <x v="0"/>
    <x v="0"/>
    <x v="0"/>
    <x v="11"/>
    <n v="0"/>
    <n v="0"/>
    <n v="4.8789999999999996"/>
    <n v="4.8789999999999996"/>
    <n v="4.8789999999999996"/>
    <n v="4.8789999999999996"/>
    <n v="65"/>
    <s v="CATIVO"/>
    <n v="0"/>
    <n v="0"/>
    <n v="22"/>
    <n v="60"/>
    <n v="0"/>
    <n v="238.45"/>
    <n v="242.35"/>
    <m/>
    <n v="346.92381196116338"/>
    <n v="191.00751406315655"/>
    <n v="0"/>
    <n v="-1.3866952031094114E-13"/>
    <n v="0"/>
    <n v="-1.3866952031094114E-13"/>
    <x v="1"/>
  </r>
  <r>
    <s v="Regular"/>
    <x v="1"/>
    <x v="0"/>
    <x v="1"/>
    <x v="5"/>
    <x v="1"/>
    <x v="0"/>
    <x v="0"/>
    <x v="0"/>
    <n v="0"/>
    <n v="0"/>
    <n v="6.2439999999999998"/>
    <n v="6.2439999999999998"/>
    <n v="6.2439999999999998"/>
    <n v="6.2439999999999998"/>
    <n v="0"/>
    <s v="CATIVO"/>
    <n v="0"/>
    <n v="0"/>
    <n v="31"/>
    <n v="69"/>
    <n v="0"/>
    <n v="269.45"/>
    <n v="213.27"/>
    <m/>
    <n v="421.14033355107131"/>
    <n v="179.54706321936715"/>
    <n v="0"/>
    <n v="410.98007999999976"/>
    <n v="0"/>
    <n v="239.40587907029501"/>
    <x v="2"/>
  </r>
  <r>
    <s v="Regular"/>
    <x v="1"/>
    <x v="0"/>
    <x v="1"/>
    <x v="5"/>
    <x v="1"/>
    <x v="0"/>
    <x v="0"/>
    <x v="1"/>
    <n v="0"/>
    <n v="0"/>
    <n v="7.9189999999999996"/>
    <n v="7.9189999999999996"/>
    <n v="7.9189999999999996"/>
    <n v="7.9189999999999996"/>
    <n v="0"/>
    <s v="CATIVO"/>
    <n v="0"/>
    <n v="0"/>
    <n v="31"/>
    <n v="69"/>
    <n v="0"/>
    <n v="269.45"/>
    <n v="213.27"/>
    <m/>
    <n v="421.14033355107131"/>
    <n v="179.54706321936715"/>
    <n v="0"/>
    <n v="521.22857999999974"/>
    <n v="0"/>
    <n v="303.62830819309198"/>
    <x v="2"/>
  </r>
  <r>
    <s v="Refaturamento - Regular"/>
    <x v="1"/>
    <x v="0"/>
    <x v="1"/>
    <x v="5"/>
    <x v="1"/>
    <x v="0"/>
    <x v="0"/>
    <x v="1"/>
    <n v="0"/>
    <n v="0"/>
    <n v="-0.1"/>
    <n v="-0.1"/>
    <n v="-0.1"/>
    <n v="-0.1"/>
    <n v="0"/>
    <s v="CATIVO"/>
    <n v="0"/>
    <n v="0"/>
    <n v="31"/>
    <n v="69"/>
    <n v="0"/>
    <n v="269.45"/>
    <n v="213.27"/>
    <m/>
    <n v="421.14033355107131"/>
    <n v="179.54706321936715"/>
    <n v="0"/>
    <n v="-6.5819999999999972"/>
    <n v="0"/>
    <n v="-3.8341748730028034"/>
    <x v="2"/>
  </r>
  <r>
    <s v="Regular"/>
    <x v="1"/>
    <x v="0"/>
    <x v="1"/>
    <x v="5"/>
    <x v="1"/>
    <x v="0"/>
    <x v="0"/>
    <x v="2"/>
    <n v="0"/>
    <n v="0"/>
    <n v="11.58"/>
    <n v="11.58"/>
    <n v="11.58"/>
    <n v="11.58"/>
    <n v="0"/>
    <s v="CATIVO"/>
    <n v="0"/>
    <n v="0"/>
    <n v="31"/>
    <n v="69"/>
    <n v="0"/>
    <n v="269.45"/>
    <n v="213.27"/>
    <m/>
    <n v="421.14033355107131"/>
    <n v="179.54706321936715"/>
    <n v="0"/>
    <n v="762.19559999999956"/>
    <n v="0"/>
    <n v="443.99745029372457"/>
    <x v="2"/>
  </r>
  <r>
    <s v="Regular"/>
    <x v="1"/>
    <x v="0"/>
    <x v="1"/>
    <x v="5"/>
    <x v="1"/>
    <x v="0"/>
    <x v="0"/>
    <x v="3"/>
    <n v="0"/>
    <n v="0"/>
    <n v="8.4139999999999997"/>
    <n v="8.4139999999999997"/>
    <n v="8.4139999999999997"/>
    <n v="8.4139999999999997"/>
    <n v="0"/>
    <s v="CATIVO"/>
    <n v="0"/>
    <n v="0"/>
    <n v="31"/>
    <n v="69"/>
    <n v="0"/>
    <n v="269.45"/>
    <n v="213.27"/>
    <m/>
    <n v="421.14033355107131"/>
    <n v="179.54706321936715"/>
    <n v="0"/>
    <n v="553.80947999999967"/>
    <n v="0"/>
    <n v="322.60747381445583"/>
    <x v="2"/>
  </r>
  <r>
    <s v="Sistema de Compensação"/>
    <x v="1"/>
    <x v="0"/>
    <x v="1"/>
    <x v="5"/>
    <x v="1"/>
    <x v="0"/>
    <x v="0"/>
    <x v="3"/>
    <n v="0"/>
    <n v="0"/>
    <n v="0.26500000000000001"/>
    <n v="0.26500000000000001"/>
    <n v="0.26500000000000001"/>
    <n v="0.26500000000000001"/>
    <n v="0"/>
    <s v="CATIVO"/>
    <n v="0"/>
    <n v="0"/>
    <n v="31"/>
    <n v="69"/>
    <n v="0"/>
    <n v="269.45"/>
    <n v="213.27"/>
    <m/>
    <n v="421.14033355107131"/>
    <n v="179.54706321936715"/>
    <n v="0"/>
    <n v="17.442299999999992"/>
    <n v="0"/>
    <n v="10.160563413457428"/>
    <x v="2"/>
  </r>
  <r>
    <s v="Regular"/>
    <x v="1"/>
    <x v="0"/>
    <x v="1"/>
    <x v="5"/>
    <x v="1"/>
    <x v="0"/>
    <x v="0"/>
    <x v="4"/>
    <n v="0"/>
    <n v="0"/>
    <n v="19.024999999999999"/>
    <n v="19.024999999999999"/>
    <n v="19.024999999999999"/>
    <n v="19.024999999999999"/>
    <n v="0"/>
    <s v="CATIVO"/>
    <n v="0"/>
    <n v="0"/>
    <n v="31"/>
    <n v="69"/>
    <n v="0"/>
    <n v="269.45"/>
    <n v="213.27"/>
    <m/>
    <n v="421.14033355107131"/>
    <n v="179.54706321936715"/>
    <n v="0"/>
    <n v="1252.2254999999993"/>
    <n v="0"/>
    <n v="729.45176958878324"/>
    <x v="2"/>
  </r>
  <r>
    <s v="Refaturamento - Regular"/>
    <x v="1"/>
    <x v="0"/>
    <x v="1"/>
    <x v="5"/>
    <x v="1"/>
    <x v="0"/>
    <x v="0"/>
    <x v="4"/>
    <n v="0"/>
    <n v="0"/>
    <n v="-3.2789999999999999"/>
    <n v="-3.2789999999999999"/>
    <n v="-3.2789999999999999"/>
    <n v="-3.2789999999999999"/>
    <n v="0"/>
    <s v="CATIVO"/>
    <n v="0"/>
    <n v="0"/>
    <n v="31"/>
    <n v="69"/>
    <n v="0"/>
    <n v="269.45"/>
    <n v="213.27"/>
    <m/>
    <n v="421.14033355107131"/>
    <n v="179.54706321936715"/>
    <n v="0"/>
    <n v="-215.82377999999989"/>
    <n v="0"/>
    <n v="-125.72259408576191"/>
    <x v="2"/>
  </r>
  <r>
    <s v="Sistema de Compensação"/>
    <x v="1"/>
    <x v="0"/>
    <x v="1"/>
    <x v="5"/>
    <x v="1"/>
    <x v="0"/>
    <x v="0"/>
    <x v="4"/>
    <n v="0"/>
    <n v="0"/>
    <n v="0.376"/>
    <n v="0.376"/>
    <n v="0.376"/>
    <n v="0.376"/>
    <n v="0"/>
    <s v="CATIVO"/>
    <n v="0"/>
    <n v="0"/>
    <n v="31"/>
    <n v="69"/>
    <n v="0"/>
    <n v="269.45"/>
    <n v="213.27"/>
    <m/>
    <n v="421.14033355107131"/>
    <n v="179.54706321936715"/>
    <n v="0"/>
    <n v="24.748319999999985"/>
    <n v="0"/>
    <n v="14.416497522490539"/>
    <x v="2"/>
  </r>
  <r>
    <s v="Regular"/>
    <x v="1"/>
    <x v="0"/>
    <x v="1"/>
    <x v="5"/>
    <x v="1"/>
    <x v="0"/>
    <x v="0"/>
    <x v="5"/>
    <n v="0"/>
    <n v="0"/>
    <n v="6.173"/>
    <n v="6.173"/>
    <n v="6.173"/>
    <n v="6.173"/>
    <n v="0"/>
    <s v="CATIVO"/>
    <n v="0"/>
    <n v="0"/>
    <n v="31"/>
    <n v="69"/>
    <n v="0"/>
    <n v="269.45"/>
    <n v="213.27"/>
    <m/>
    <n v="421.14033355107131"/>
    <n v="179.54706321936715"/>
    <n v="0"/>
    <n v="406.3068599999998"/>
    <n v="0"/>
    <n v="236.68361491046304"/>
    <x v="2"/>
  </r>
  <r>
    <s v="Sistema de Compensação"/>
    <x v="1"/>
    <x v="0"/>
    <x v="1"/>
    <x v="5"/>
    <x v="1"/>
    <x v="0"/>
    <x v="0"/>
    <x v="5"/>
    <n v="0"/>
    <n v="0"/>
    <n v="0.16200000000000001"/>
    <n v="0.16200000000000001"/>
    <n v="0.16200000000000001"/>
    <n v="0.16200000000000001"/>
    <n v="0"/>
    <s v="CATIVO"/>
    <n v="0"/>
    <n v="0"/>
    <n v="31"/>
    <n v="69"/>
    <n v="0"/>
    <n v="269.45"/>
    <n v="213.27"/>
    <m/>
    <n v="421.14033355107131"/>
    <n v="179.54706321936715"/>
    <n v="0"/>
    <n v="10.662839999999994"/>
    <n v="0"/>
    <n v="6.2113632942645411"/>
    <x v="2"/>
  </r>
  <r>
    <s v="Regular"/>
    <x v="1"/>
    <x v="0"/>
    <x v="1"/>
    <x v="5"/>
    <x v="1"/>
    <x v="0"/>
    <x v="0"/>
    <x v="6"/>
    <n v="0"/>
    <n v="0"/>
    <n v="2.0369999999999999"/>
    <n v="2.0369999999999999"/>
    <n v="2.0369999999999999"/>
    <n v="2.0369999999999999"/>
    <n v="0"/>
    <s v="CATIVO"/>
    <n v="0"/>
    <n v="0"/>
    <n v="31"/>
    <n v="69"/>
    <n v="0"/>
    <n v="269.45"/>
    <n v="213.27"/>
    <m/>
    <n v="421.14033355107131"/>
    <n v="179.54706321936715"/>
    <n v="0"/>
    <n v="134.07533999999993"/>
    <n v="0"/>
    <n v="78.1021421630671"/>
    <x v="2"/>
  </r>
  <r>
    <s v="Sistema de Compensação"/>
    <x v="1"/>
    <x v="0"/>
    <x v="1"/>
    <x v="5"/>
    <x v="1"/>
    <x v="0"/>
    <x v="0"/>
    <x v="6"/>
    <n v="0"/>
    <n v="0"/>
    <n v="0.05"/>
    <n v="0.05"/>
    <n v="0.05"/>
    <n v="0.05"/>
    <n v="0"/>
    <s v="CATIVO"/>
    <n v="0"/>
    <n v="0"/>
    <n v="31"/>
    <n v="69"/>
    <n v="0"/>
    <n v="269.45"/>
    <n v="213.27"/>
    <m/>
    <n v="421.14033355107131"/>
    <n v="179.54706321936715"/>
    <n v="0"/>
    <n v="3.2909999999999986"/>
    <n v="0"/>
    <n v="1.9170874365014017"/>
    <x v="2"/>
  </r>
  <r>
    <s v="Regular"/>
    <x v="1"/>
    <x v="0"/>
    <x v="1"/>
    <x v="5"/>
    <x v="1"/>
    <x v="0"/>
    <x v="0"/>
    <x v="7"/>
    <n v="0"/>
    <n v="0"/>
    <n v="0.86"/>
    <n v="0.86"/>
    <n v="0.86"/>
    <n v="0.86"/>
    <n v="0"/>
    <s v="CATIVO"/>
    <n v="0"/>
    <n v="0"/>
    <n v="31"/>
    <n v="69"/>
    <n v="0"/>
    <n v="269.45"/>
    <n v="213.27"/>
    <m/>
    <n v="421.14033355107131"/>
    <n v="179.54706321936715"/>
    <n v="0"/>
    <n v="56.605199999999968"/>
    <n v="0"/>
    <n v="32.973903907824102"/>
    <x v="2"/>
  </r>
  <r>
    <s v="Refaturamento - Regular"/>
    <x v="1"/>
    <x v="0"/>
    <x v="1"/>
    <x v="5"/>
    <x v="1"/>
    <x v="0"/>
    <x v="0"/>
    <x v="7"/>
    <n v="0"/>
    <n v="0"/>
    <n v="-0.65700000000000003"/>
    <n v="-0.65700000000000003"/>
    <n v="-0.65700000000000003"/>
    <n v="-0.65700000000000003"/>
    <n v="0"/>
    <s v="CATIVO"/>
    <n v="0"/>
    <n v="0"/>
    <n v="31"/>
    <n v="69"/>
    <n v="0"/>
    <n v="269.45"/>
    <n v="213.27"/>
    <m/>
    <n v="421.14033355107131"/>
    <n v="179.54706321936715"/>
    <n v="0"/>
    <n v="-43.243739999999981"/>
    <n v="0"/>
    <n v="-25.190528915628416"/>
    <x v="2"/>
  </r>
  <r>
    <s v="Regular"/>
    <x v="1"/>
    <x v="0"/>
    <x v="1"/>
    <x v="5"/>
    <x v="1"/>
    <x v="0"/>
    <x v="0"/>
    <x v="8"/>
    <n v="0"/>
    <n v="0"/>
    <n v="0.57999999999999996"/>
    <n v="0.57999999999999996"/>
    <n v="0.57999999999999996"/>
    <n v="0.57999999999999996"/>
    <n v="0"/>
    <s v="CATIVO"/>
    <n v="0"/>
    <n v="0"/>
    <n v="31"/>
    <n v="69"/>
    <n v="0"/>
    <n v="269.45"/>
    <n v="213.27"/>
    <m/>
    <n v="421.14033355107131"/>
    <n v="179.54706321936715"/>
    <n v="0"/>
    <n v="38.175599999999974"/>
    <n v="0"/>
    <n v="22.238214263416257"/>
    <x v="2"/>
  </r>
  <r>
    <s v="Refaturamento - Regular"/>
    <x v="1"/>
    <x v="0"/>
    <x v="1"/>
    <x v="5"/>
    <x v="1"/>
    <x v="0"/>
    <x v="0"/>
    <x v="8"/>
    <n v="0"/>
    <n v="0"/>
    <n v="-9.4E-2"/>
    <n v="-9.4E-2"/>
    <n v="-9.4E-2"/>
    <n v="-9.4E-2"/>
    <n v="0"/>
    <s v="CATIVO"/>
    <n v="0"/>
    <n v="0"/>
    <n v="31"/>
    <n v="69"/>
    <n v="0"/>
    <n v="269.45"/>
    <n v="213.27"/>
    <m/>
    <n v="421.14033355107131"/>
    <n v="179.54706321936715"/>
    <n v="0"/>
    <n v="-6.1870799999999964"/>
    <n v="0"/>
    <n v="-3.6041243806226348"/>
    <x v="2"/>
  </r>
  <r>
    <s v="Regular"/>
    <x v="1"/>
    <x v="0"/>
    <x v="1"/>
    <x v="5"/>
    <x v="1"/>
    <x v="0"/>
    <x v="0"/>
    <x v="9"/>
    <n v="0"/>
    <n v="0"/>
    <n v="1.6779999999999999"/>
    <n v="1.6779999999999999"/>
    <n v="1.6779999999999999"/>
    <n v="1.6779999999999999"/>
    <n v="0"/>
    <s v="CATIVO"/>
    <n v="0"/>
    <n v="0"/>
    <n v="31"/>
    <n v="69"/>
    <n v="0"/>
    <n v="269.45"/>
    <n v="213.27"/>
    <m/>
    <n v="421.14033355107131"/>
    <n v="179.54706321936715"/>
    <n v="0"/>
    <n v="110.44595999999994"/>
    <n v="0"/>
    <n v="64.337454368987025"/>
    <x v="2"/>
  </r>
  <r>
    <s v="Sistema de Compensação"/>
    <x v="1"/>
    <x v="0"/>
    <x v="1"/>
    <x v="5"/>
    <x v="1"/>
    <x v="0"/>
    <x v="0"/>
    <x v="9"/>
    <n v="0"/>
    <n v="0"/>
    <n v="7.2999999999999995E-2"/>
    <n v="7.2999999999999995E-2"/>
    <n v="7.2999999999999995E-2"/>
    <n v="7.2999999999999995E-2"/>
    <n v="0"/>
    <s v="CATIVO"/>
    <n v="0"/>
    <n v="0"/>
    <n v="31"/>
    <n v="69"/>
    <n v="0"/>
    <n v="269.45"/>
    <n v="213.27"/>
    <m/>
    <n v="421.14033355107131"/>
    <n v="179.54706321936715"/>
    <n v="0"/>
    <n v="4.804859999999997"/>
    <n v="0"/>
    <n v="2.7989476572920462"/>
    <x v="2"/>
  </r>
  <r>
    <s v="Regular"/>
    <x v="1"/>
    <x v="0"/>
    <x v="1"/>
    <x v="5"/>
    <x v="1"/>
    <x v="0"/>
    <x v="0"/>
    <x v="10"/>
    <n v="0"/>
    <n v="0"/>
    <n v="1.625"/>
    <n v="1.625"/>
    <n v="1.625"/>
    <n v="1.625"/>
    <n v="0"/>
    <s v="CATIVO"/>
    <n v="0"/>
    <n v="0"/>
    <n v="31"/>
    <n v="69"/>
    <n v="0"/>
    <n v="269.45"/>
    <n v="213.27"/>
    <m/>
    <n v="421.14033355107131"/>
    <n v="179.54706321936715"/>
    <n v="0"/>
    <n v="106.95749999999994"/>
    <n v="0"/>
    <n v="62.305341686295549"/>
    <x v="2"/>
  </r>
  <r>
    <s v="PROJETADO"/>
    <x v="1"/>
    <x v="0"/>
    <x v="1"/>
    <x v="5"/>
    <x v="1"/>
    <x v="0"/>
    <x v="0"/>
    <x v="11"/>
    <n v="0"/>
    <n v="0"/>
    <n v="1.625"/>
    <n v="1.625"/>
    <n v="1.625"/>
    <n v="1.625"/>
    <n v="0"/>
    <s v="CATIVO"/>
    <n v="0"/>
    <n v="0"/>
    <n v="31"/>
    <n v="69"/>
    <n v="0"/>
    <n v="269.45"/>
    <n v="213.27"/>
    <m/>
    <n v="421.14033355107131"/>
    <n v="179.54706321936715"/>
    <n v="0"/>
    <n v="106.95749999999994"/>
    <n v="0"/>
    <n v="62.305341686295549"/>
    <x v="2"/>
  </r>
  <r>
    <s v="Regular"/>
    <x v="1"/>
    <x v="0"/>
    <x v="1"/>
    <x v="5"/>
    <x v="2"/>
    <x v="0"/>
    <x v="0"/>
    <x v="0"/>
    <n v="0"/>
    <n v="0"/>
    <n v="6.2990000000000004"/>
    <n v="2.5196000000000001"/>
    <n v="6.2990000000000004"/>
    <n v="2.5196000000000001"/>
    <n v="0"/>
    <s v="CATIVO"/>
    <n v="0"/>
    <n v="0"/>
    <n v="31"/>
    <n v="69"/>
    <n v="0"/>
    <n v="269.45"/>
    <n v="213.27"/>
    <m/>
    <n v="421.14033355107131"/>
    <n v="179.54706321936715"/>
    <n v="0"/>
    <n v="2238.9921480000003"/>
    <n v="0"/>
    <n v="2511.7526226046416"/>
    <x v="3"/>
  </r>
  <r>
    <s v="Regular"/>
    <x v="1"/>
    <x v="0"/>
    <x v="1"/>
    <x v="5"/>
    <x v="2"/>
    <x v="0"/>
    <x v="0"/>
    <x v="1"/>
    <n v="0"/>
    <n v="0"/>
    <n v="4.2409999999999997"/>
    <n v="1.6963999999999999"/>
    <n v="4.2409999999999997"/>
    <n v="1.6963999999999999"/>
    <n v="0"/>
    <s v="CATIVO"/>
    <n v="0"/>
    <n v="0"/>
    <n v="31"/>
    <n v="69"/>
    <n v="0"/>
    <n v="269.45"/>
    <n v="213.27"/>
    <m/>
    <n v="421.14033355107131"/>
    <n v="179.54706321936715"/>
    <n v="0"/>
    <n v="1507.4719319999999"/>
    <n v="0"/>
    <n v="1691.1165061861066"/>
    <x v="3"/>
  </r>
  <r>
    <s v="Regular"/>
    <x v="1"/>
    <x v="0"/>
    <x v="1"/>
    <x v="5"/>
    <x v="2"/>
    <x v="0"/>
    <x v="0"/>
    <x v="2"/>
    <n v="0"/>
    <n v="0"/>
    <n v="14.744"/>
    <n v="5.8975999999999997"/>
    <n v="14.744"/>
    <n v="5.8975999999999997"/>
    <n v="0"/>
    <s v="CATIVO"/>
    <n v="0"/>
    <n v="0"/>
    <n v="31"/>
    <n v="69"/>
    <n v="0"/>
    <n v="269.45"/>
    <n v="213.27"/>
    <m/>
    <n v="421.14033355107131"/>
    <n v="179.54706321936715"/>
    <n v="0"/>
    <n v="5240.7842879999998"/>
    <n v="0"/>
    <n v="5879.2317300655395"/>
    <x v="3"/>
  </r>
  <r>
    <s v="Regular"/>
    <x v="1"/>
    <x v="0"/>
    <x v="1"/>
    <x v="5"/>
    <x v="2"/>
    <x v="0"/>
    <x v="0"/>
    <x v="3"/>
    <n v="0"/>
    <n v="0"/>
    <n v="7.0330000000000004"/>
    <n v="2.8132000000000001"/>
    <n v="7.0330000000000004"/>
    <n v="2.8132000000000001"/>
    <n v="0"/>
    <s v="CATIVO"/>
    <n v="0"/>
    <n v="0"/>
    <n v="31"/>
    <n v="69"/>
    <n v="0"/>
    <n v="269.45"/>
    <n v="213.27"/>
    <m/>
    <n v="421.14033355107131"/>
    <n v="179.54706321936715"/>
    <n v="0"/>
    <n v="2499.893916"/>
    <n v="0"/>
    <n v="2804.4381957101832"/>
    <x v="3"/>
  </r>
  <r>
    <s v="Sistema de Compensação"/>
    <x v="1"/>
    <x v="0"/>
    <x v="1"/>
    <x v="5"/>
    <x v="2"/>
    <x v="0"/>
    <x v="0"/>
    <x v="3"/>
    <n v="0"/>
    <n v="0"/>
    <n v="0.112"/>
    <n v="4.48E-2"/>
    <n v="0.112"/>
    <n v="4.48E-2"/>
    <n v="0"/>
    <s v="CATIVO"/>
    <n v="0"/>
    <n v="0"/>
    <n v="31"/>
    <n v="69"/>
    <n v="0"/>
    <n v="269.45"/>
    <n v="213.27"/>
    <m/>
    <n v="421.14033355107131"/>
    <n v="179.54706321936715"/>
    <n v="0"/>
    <n v="39.810624000000004"/>
    <n v="0"/>
    <n v="44.660468920736612"/>
    <x v="3"/>
  </r>
  <r>
    <s v="Regular"/>
    <x v="1"/>
    <x v="0"/>
    <x v="1"/>
    <x v="5"/>
    <x v="2"/>
    <x v="0"/>
    <x v="0"/>
    <x v="4"/>
    <n v="0"/>
    <n v="0"/>
    <n v="16.582000000000001"/>
    <n v="6.6327999999999996"/>
    <n v="16.582000000000001"/>
    <n v="6.6327999999999996"/>
    <n v="0"/>
    <s v="CATIVO"/>
    <n v="0"/>
    <n v="0"/>
    <n v="31"/>
    <n v="69"/>
    <n v="0"/>
    <n v="269.45"/>
    <n v="213.27"/>
    <m/>
    <n v="421.14033355107131"/>
    <n v="179.54706321936715"/>
    <n v="0"/>
    <n v="5894.1050640000012"/>
    <n v="0"/>
    <n v="6612.141925389772"/>
    <x v="3"/>
  </r>
  <r>
    <s v="Refaturamento - Regular"/>
    <x v="1"/>
    <x v="0"/>
    <x v="1"/>
    <x v="5"/>
    <x v="2"/>
    <x v="0"/>
    <x v="0"/>
    <x v="4"/>
    <n v="0"/>
    <n v="0"/>
    <n v="-1.125"/>
    <n v="-0.45"/>
    <n v="-1.125"/>
    <n v="-0.45"/>
    <n v="0"/>
    <s v="CATIVO"/>
    <n v="0"/>
    <n v="0"/>
    <n v="31"/>
    <n v="69"/>
    <n v="0"/>
    <n v="269.45"/>
    <n v="213.27"/>
    <m/>
    <n v="421.14033355107131"/>
    <n v="179.54706321936715"/>
    <n v="0"/>
    <n v="-399.88349999999997"/>
    <n v="0"/>
    <n v="-448.59846014132751"/>
    <x v="3"/>
  </r>
  <r>
    <s v="Sistema de Compensação"/>
    <x v="1"/>
    <x v="0"/>
    <x v="1"/>
    <x v="5"/>
    <x v="2"/>
    <x v="0"/>
    <x v="0"/>
    <x v="4"/>
    <n v="0"/>
    <n v="0"/>
    <n v="0.245"/>
    <n v="9.8000000000000004E-2"/>
    <n v="0.245"/>
    <n v="9.8000000000000004E-2"/>
    <n v="0"/>
    <s v="CATIVO"/>
    <n v="0"/>
    <n v="0"/>
    <n v="31"/>
    <n v="69"/>
    <n v="0"/>
    <n v="269.45"/>
    <n v="213.27"/>
    <m/>
    <n v="421.14033355107131"/>
    <n v="179.54706321936715"/>
    <n v="0"/>
    <n v="87.085739999999987"/>
    <n v="0"/>
    <n v="97.694775764111313"/>
    <x v="3"/>
  </r>
  <r>
    <s v="Regular"/>
    <x v="1"/>
    <x v="0"/>
    <x v="1"/>
    <x v="5"/>
    <x v="2"/>
    <x v="0"/>
    <x v="0"/>
    <x v="5"/>
    <n v="0"/>
    <n v="0"/>
    <n v="7.8330000000000002"/>
    <n v="3.1332"/>
    <n v="7.8330000000000002"/>
    <n v="3.1332"/>
    <n v="0"/>
    <s v="CATIVO"/>
    <n v="0"/>
    <n v="0"/>
    <n v="31"/>
    <n v="69"/>
    <n v="0"/>
    <n v="269.45"/>
    <n v="213.27"/>
    <m/>
    <n v="421.14033355107131"/>
    <n v="179.54706321936715"/>
    <n v="0"/>
    <n v="2784.2555159999997"/>
    <n v="0"/>
    <n v="3123.4415451440159"/>
    <x v="3"/>
  </r>
  <r>
    <s v="Sistema de Compensação"/>
    <x v="1"/>
    <x v="0"/>
    <x v="1"/>
    <x v="5"/>
    <x v="2"/>
    <x v="0"/>
    <x v="0"/>
    <x v="5"/>
    <n v="0"/>
    <n v="0"/>
    <n v="0.152"/>
    <n v="6.08E-2"/>
    <n v="0.152"/>
    <n v="6.08E-2"/>
    <n v="0"/>
    <s v="CATIVO"/>
    <n v="0"/>
    <n v="0"/>
    <n v="31"/>
    <n v="69"/>
    <n v="0"/>
    <n v="269.45"/>
    <n v="213.27"/>
    <m/>
    <n v="421.14033355107131"/>
    <n v="179.54706321936715"/>
    <n v="0"/>
    <n v="54.028703999999998"/>
    <n v="0"/>
    <n v="60.610636392428248"/>
    <x v="3"/>
  </r>
  <r>
    <s v="Regular"/>
    <x v="1"/>
    <x v="0"/>
    <x v="1"/>
    <x v="5"/>
    <x v="2"/>
    <x v="0"/>
    <x v="0"/>
    <x v="6"/>
    <n v="0"/>
    <n v="0"/>
    <n v="0.79600000000000004"/>
    <n v="0.31840000000000002"/>
    <n v="0.79600000000000004"/>
    <n v="0.31840000000000002"/>
    <n v="0"/>
    <s v="CATIVO"/>
    <n v="0"/>
    <n v="0"/>
    <n v="31"/>
    <n v="69"/>
    <n v="0"/>
    <n v="269.45"/>
    <n v="213.27"/>
    <m/>
    <n v="421.14033355107131"/>
    <n v="179.54706321936715"/>
    <n v="0"/>
    <n v="282.93979200000001"/>
    <n v="0"/>
    <n v="317.40833268666375"/>
    <x v="3"/>
  </r>
  <r>
    <s v="Regular"/>
    <x v="1"/>
    <x v="0"/>
    <x v="1"/>
    <x v="5"/>
    <x v="2"/>
    <x v="0"/>
    <x v="0"/>
    <x v="7"/>
    <n v="0"/>
    <n v="0"/>
    <n v="0.65500000000000003"/>
    <n v="0.26200000000000001"/>
    <n v="0.65500000000000003"/>
    <n v="0.26200000000000001"/>
    <n v="0"/>
    <s v="CATIVO"/>
    <n v="0"/>
    <n v="0"/>
    <n v="31"/>
    <n v="69"/>
    <n v="0"/>
    <n v="269.45"/>
    <n v="213.27"/>
    <m/>
    <n v="421.14033355107131"/>
    <n v="179.54706321936715"/>
    <n v="0"/>
    <n v="232.82105999999999"/>
    <n v="0"/>
    <n v="261.18399234895071"/>
    <x v="3"/>
  </r>
  <r>
    <s v="Regular"/>
    <x v="1"/>
    <x v="0"/>
    <x v="1"/>
    <x v="5"/>
    <x v="2"/>
    <x v="0"/>
    <x v="0"/>
    <x v="8"/>
    <n v="0"/>
    <n v="0"/>
    <n v="0.50800000000000001"/>
    <n v="0.20319999999999999"/>
    <n v="0.50800000000000001"/>
    <n v="0.20319999999999999"/>
    <n v="0"/>
    <s v="CATIVO"/>
    <n v="0"/>
    <n v="0"/>
    <n v="31"/>
    <n v="69"/>
    <n v="0"/>
    <n v="269.45"/>
    <n v="213.27"/>
    <m/>
    <n v="421.14033355107131"/>
    <n v="179.54706321936715"/>
    <n v="0"/>
    <n v="180.569616"/>
    <n v="0"/>
    <n v="202.56712689048391"/>
    <x v="3"/>
  </r>
  <r>
    <s v="Refaturamento - Regular"/>
    <x v="1"/>
    <x v="0"/>
    <x v="1"/>
    <x v="5"/>
    <x v="2"/>
    <x v="0"/>
    <x v="0"/>
    <x v="8"/>
    <n v="0"/>
    <n v="0"/>
    <n v="2.8000000000000001E-2"/>
    <n v="1.12E-2"/>
    <n v="2.8000000000000001E-2"/>
    <n v="1.12E-2"/>
    <n v="0"/>
    <s v="CATIVO"/>
    <n v="0"/>
    <n v="0"/>
    <n v="31"/>
    <n v="69"/>
    <n v="0"/>
    <n v="269.45"/>
    <n v="213.27"/>
    <m/>
    <n v="421.14033355107131"/>
    <n v="179.54706321936715"/>
    <n v="0"/>
    <n v="9.9526560000000011"/>
    <n v="0"/>
    <n v="11.165117230184153"/>
    <x v="3"/>
  </r>
  <r>
    <s v="Regular"/>
    <x v="1"/>
    <x v="0"/>
    <x v="1"/>
    <x v="5"/>
    <x v="2"/>
    <x v="0"/>
    <x v="0"/>
    <x v="9"/>
    <n v="0"/>
    <n v="0"/>
    <n v="1.663"/>
    <n v="0.66520000000000001"/>
    <n v="1.663"/>
    <n v="0.66520000000000001"/>
    <n v="0"/>
    <s v="CATIVO"/>
    <n v="0"/>
    <n v="0"/>
    <n v="31"/>
    <n v="69"/>
    <n v="0"/>
    <n v="269.45"/>
    <n v="213.27"/>
    <m/>
    <n v="421.14033355107131"/>
    <n v="179.54706321936715"/>
    <n v="0"/>
    <n v="591.11667599999998"/>
    <n v="0"/>
    <n v="663.1282126355801"/>
    <x v="3"/>
  </r>
  <r>
    <s v="Regular"/>
    <x v="1"/>
    <x v="0"/>
    <x v="1"/>
    <x v="5"/>
    <x v="2"/>
    <x v="0"/>
    <x v="0"/>
    <x v="10"/>
    <n v="0"/>
    <n v="0"/>
    <n v="0.98399999999999999"/>
    <n v="0.39360000000000001"/>
    <n v="0.98399999999999999"/>
    <n v="0.39360000000000001"/>
    <n v="0"/>
    <s v="CATIVO"/>
    <n v="0"/>
    <n v="0"/>
    <n v="31"/>
    <n v="69"/>
    <n v="0"/>
    <n v="269.45"/>
    <n v="213.27"/>
    <m/>
    <n v="421.14033355107131"/>
    <n v="179.54706321936715"/>
    <n v="0"/>
    <n v="349.764768"/>
    <n v="0"/>
    <n v="392.37411980361446"/>
    <x v="3"/>
  </r>
  <r>
    <s v="PROJETADO"/>
    <x v="1"/>
    <x v="0"/>
    <x v="1"/>
    <x v="5"/>
    <x v="2"/>
    <x v="0"/>
    <x v="0"/>
    <x v="11"/>
    <n v="0"/>
    <n v="0"/>
    <n v="0.98399999999999999"/>
    <n v="0.39360000000000001"/>
    <n v="0.98399999999999999"/>
    <n v="0.39360000000000001"/>
    <n v="0"/>
    <s v="CATIVO"/>
    <n v="0"/>
    <n v="0"/>
    <n v="31"/>
    <n v="69"/>
    <n v="0"/>
    <n v="269.45"/>
    <n v="213.27"/>
    <m/>
    <n v="421.14033355107131"/>
    <n v="179.54706321936715"/>
    <n v="0"/>
    <n v="349.764768"/>
    <n v="0"/>
    <n v="392.37411980361446"/>
    <x v="3"/>
  </r>
  <r>
    <s v="Regular"/>
    <x v="1"/>
    <x v="0"/>
    <x v="1"/>
    <x v="6"/>
    <x v="1"/>
    <x v="0"/>
    <x v="0"/>
    <x v="0"/>
    <n v="0"/>
    <n v="0"/>
    <n v="0.24399999999999999"/>
    <n v="0.24399999999999999"/>
    <n v="0.24399999999999999"/>
    <n v="0.24399999999999999"/>
    <n v="0"/>
    <s v="CATIVO"/>
    <n v="0"/>
    <n v="0"/>
    <n v="31"/>
    <n v="69"/>
    <n v="0"/>
    <n v="269.45"/>
    <n v="213.27"/>
    <m/>
    <n v="421.14033355107131"/>
    <n v="179.54706321936715"/>
    <n v="0"/>
    <n v="16.060079999999992"/>
    <n v="0"/>
    <n v="9.3553866901268385"/>
    <x v="2"/>
  </r>
  <r>
    <s v="Regular"/>
    <x v="1"/>
    <x v="0"/>
    <x v="1"/>
    <x v="6"/>
    <x v="1"/>
    <x v="0"/>
    <x v="0"/>
    <x v="1"/>
    <n v="0"/>
    <n v="0"/>
    <n v="0.17899999999999999"/>
    <n v="0.17899999999999999"/>
    <n v="0.17899999999999999"/>
    <n v="0.17899999999999999"/>
    <n v="0"/>
    <s v="CATIVO"/>
    <n v="0"/>
    <n v="0"/>
    <n v="31"/>
    <n v="69"/>
    <n v="0"/>
    <n v="269.45"/>
    <n v="213.27"/>
    <m/>
    <n v="421.14033355107131"/>
    <n v="179.54706321936715"/>
    <n v="0"/>
    <n v="11.781779999999992"/>
    <n v="0"/>
    <n v="6.8631730226750172"/>
    <x v="2"/>
  </r>
  <r>
    <s v="Regular"/>
    <x v="1"/>
    <x v="0"/>
    <x v="1"/>
    <x v="6"/>
    <x v="1"/>
    <x v="0"/>
    <x v="0"/>
    <x v="2"/>
    <n v="0"/>
    <n v="0"/>
    <n v="0.47499999999999998"/>
    <n v="0.47499999999999998"/>
    <n v="0.47499999999999998"/>
    <n v="0.47499999999999998"/>
    <n v="0"/>
    <s v="CATIVO"/>
    <n v="0"/>
    <n v="0"/>
    <n v="31"/>
    <n v="69"/>
    <n v="0"/>
    <n v="269.45"/>
    <n v="213.27"/>
    <m/>
    <n v="421.14033355107131"/>
    <n v="179.54706321936715"/>
    <n v="0"/>
    <n v="31.26449999999998"/>
    <n v="0"/>
    <n v="18.212330646763313"/>
    <x v="2"/>
  </r>
  <r>
    <s v="Regular"/>
    <x v="1"/>
    <x v="0"/>
    <x v="1"/>
    <x v="6"/>
    <x v="1"/>
    <x v="0"/>
    <x v="0"/>
    <x v="3"/>
    <n v="0"/>
    <n v="0"/>
    <n v="0.35299999999999998"/>
    <n v="0.35299999999999998"/>
    <n v="0.35299999999999998"/>
    <n v="0.35299999999999998"/>
    <n v="0"/>
    <s v="CATIVO"/>
    <n v="0"/>
    <n v="0"/>
    <n v="31"/>
    <n v="69"/>
    <n v="0"/>
    <n v="269.45"/>
    <n v="213.27"/>
    <m/>
    <n v="421.14033355107131"/>
    <n v="179.54706321936715"/>
    <n v="0"/>
    <n v="23.234459999999988"/>
    <n v="0"/>
    <n v="13.534637301699894"/>
    <x v="2"/>
  </r>
  <r>
    <s v="Regular"/>
    <x v="1"/>
    <x v="0"/>
    <x v="1"/>
    <x v="6"/>
    <x v="1"/>
    <x v="0"/>
    <x v="0"/>
    <x v="4"/>
    <n v="0"/>
    <n v="0"/>
    <n v="0.81200000000000006"/>
    <n v="0.81200000000000006"/>
    <n v="0.81200000000000006"/>
    <n v="0.81200000000000006"/>
    <n v="0"/>
    <s v="CATIVO"/>
    <n v="0"/>
    <n v="0"/>
    <n v="31"/>
    <n v="69"/>
    <n v="0"/>
    <n v="269.45"/>
    <n v="213.27"/>
    <m/>
    <n v="421.14033355107131"/>
    <n v="179.54706321936715"/>
    <n v="0"/>
    <n v="53.445839999999976"/>
    <n v="0"/>
    <n v="31.133499968782761"/>
    <x v="2"/>
  </r>
  <r>
    <s v="Regular"/>
    <x v="1"/>
    <x v="0"/>
    <x v="1"/>
    <x v="6"/>
    <x v="1"/>
    <x v="0"/>
    <x v="0"/>
    <x v="5"/>
    <n v="0"/>
    <n v="0"/>
    <n v="0.88600000000000001"/>
    <n v="0.88600000000000001"/>
    <n v="0.88600000000000001"/>
    <n v="0.88600000000000001"/>
    <n v="0"/>
    <s v="CATIVO"/>
    <n v="0"/>
    <n v="0"/>
    <n v="31"/>
    <n v="69"/>
    <n v="0"/>
    <n v="269.45"/>
    <n v="213.27"/>
    <m/>
    <n v="421.14033355107131"/>
    <n v="179.54706321936715"/>
    <n v="0"/>
    <n v="58.316519999999969"/>
    <n v="0"/>
    <n v="33.970789374804838"/>
    <x v="2"/>
  </r>
  <r>
    <s v="Regular"/>
    <x v="1"/>
    <x v="0"/>
    <x v="1"/>
    <x v="6"/>
    <x v="1"/>
    <x v="0"/>
    <x v="0"/>
    <x v="6"/>
    <n v="0"/>
    <n v="0"/>
    <n v="1.085"/>
    <n v="1.085"/>
    <n v="1.085"/>
    <n v="1.085"/>
    <n v="0"/>
    <s v="CATIVO"/>
    <n v="0"/>
    <n v="0"/>
    <n v="31"/>
    <n v="69"/>
    <n v="0"/>
    <n v="269.45"/>
    <n v="213.27"/>
    <m/>
    <n v="421.14033355107131"/>
    <n v="179.54706321936715"/>
    <n v="0"/>
    <n v="71.414699999999954"/>
    <n v="0"/>
    <n v="41.600797372080415"/>
    <x v="2"/>
  </r>
  <r>
    <s v="Regular"/>
    <x v="1"/>
    <x v="0"/>
    <x v="1"/>
    <x v="6"/>
    <x v="1"/>
    <x v="0"/>
    <x v="0"/>
    <x v="7"/>
    <n v="0"/>
    <n v="0"/>
    <n v="1.05"/>
    <n v="1.05"/>
    <n v="1.05"/>
    <n v="1.05"/>
    <n v="0"/>
    <s v="CATIVO"/>
    <n v="0"/>
    <n v="0"/>
    <n v="31"/>
    <n v="69"/>
    <n v="0"/>
    <n v="269.45"/>
    <n v="213.27"/>
    <m/>
    <n v="421.14033355107131"/>
    <n v="179.54706321936715"/>
    <n v="0"/>
    <n v="69.110999999999962"/>
    <n v="0"/>
    <n v="40.258836166529434"/>
    <x v="2"/>
  </r>
  <r>
    <s v="Regular"/>
    <x v="1"/>
    <x v="0"/>
    <x v="1"/>
    <x v="6"/>
    <x v="1"/>
    <x v="0"/>
    <x v="0"/>
    <x v="8"/>
    <n v="0"/>
    <n v="0"/>
    <n v="0.69499999999999995"/>
    <n v="0.69499999999999995"/>
    <n v="0.69499999999999995"/>
    <n v="0.69499999999999995"/>
    <n v="0"/>
    <s v="CATIVO"/>
    <n v="0"/>
    <n v="0"/>
    <n v="31"/>
    <n v="69"/>
    <n v="0"/>
    <n v="269.45"/>
    <n v="213.27"/>
    <m/>
    <n v="421.14033355107131"/>
    <n v="179.54706321936715"/>
    <n v="0"/>
    <n v="45.744899999999973"/>
    <n v="0"/>
    <n v="26.647515367369479"/>
    <x v="2"/>
  </r>
  <r>
    <s v="Regular"/>
    <x v="1"/>
    <x v="0"/>
    <x v="1"/>
    <x v="6"/>
    <x v="1"/>
    <x v="0"/>
    <x v="0"/>
    <x v="9"/>
    <n v="0"/>
    <n v="0"/>
    <n v="0.20899999999999999"/>
    <n v="0.20899999999999999"/>
    <n v="0.20899999999999999"/>
    <n v="0.20899999999999999"/>
    <n v="0"/>
    <s v="CATIVO"/>
    <n v="0"/>
    <n v="0"/>
    <n v="31"/>
    <n v="69"/>
    <n v="0"/>
    <n v="269.45"/>
    <n v="213.27"/>
    <m/>
    <n v="421.14033355107131"/>
    <n v="179.54706321936715"/>
    <n v="0"/>
    <n v="13.756379999999993"/>
    <n v="0"/>
    <n v="8.0134254845758583"/>
    <x v="2"/>
  </r>
  <r>
    <s v="Regular"/>
    <x v="1"/>
    <x v="0"/>
    <x v="1"/>
    <x v="6"/>
    <x v="1"/>
    <x v="0"/>
    <x v="0"/>
    <x v="10"/>
    <n v="0"/>
    <n v="0"/>
    <n v="0.16"/>
    <n v="0.16"/>
    <n v="0.16"/>
    <n v="0.16"/>
    <n v="0"/>
    <s v="CATIVO"/>
    <n v="0"/>
    <n v="0"/>
    <n v="31"/>
    <n v="69"/>
    <n v="0"/>
    <n v="269.45"/>
    <n v="213.27"/>
    <m/>
    <n v="421.14033355107131"/>
    <n v="179.54706321936715"/>
    <n v="0"/>
    <n v="10.531199999999995"/>
    <n v="0"/>
    <n v="6.1346797968044848"/>
    <x v="2"/>
  </r>
  <r>
    <s v="PROJETADO"/>
    <x v="1"/>
    <x v="0"/>
    <x v="1"/>
    <x v="6"/>
    <x v="1"/>
    <x v="0"/>
    <x v="0"/>
    <x v="11"/>
    <n v="0"/>
    <n v="0"/>
    <n v="0.16"/>
    <n v="0.16"/>
    <n v="0.16"/>
    <n v="0.16"/>
    <n v="0"/>
    <s v="CATIVO"/>
    <n v="0"/>
    <n v="0"/>
    <n v="31"/>
    <n v="69"/>
    <n v="0"/>
    <n v="269.45"/>
    <n v="213.27"/>
    <m/>
    <n v="421.14033355107131"/>
    <n v="179.54706321936715"/>
    <n v="0"/>
    <n v="10.531199999999995"/>
    <n v="0"/>
    <n v="6.1346797968044848"/>
    <x v="2"/>
  </r>
  <r>
    <s v="Regular"/>
    <x v="1"/>
    <x v="0"/>
    <x v="1"/>
    <x v="6"/>
    <x v="2"/>
    <x v="0"/>
    <x v="0"/>
    <x v="0"/>
    <n v="0"/>
    <n v="0"/>
    <n v="0.97499999999999998"/>
    <n v="0.39"/>
    <n v="0.97499999999999998"/>
    <n v="0.39"/>
    <n v="0"/>
    <s v="CATIVO"/>
    <n v="0"/>
    <n v="0"/>
    <n v="31"/>
    <n v="69"/>
    <n v="0"/>
    <n v="269.45"/>
    <n v="213.27"/>
    <m/>
    <n v="421.14033355107131"/>
    <n v="179.54706321936715"/>
    <n v="0"/>
    <n v="346.56569999999999"/>
    <n v="0"/>
    <n v="388.78533212248379"/>
    <x v="3"/>
  </r>
  <r>
    <s v="Regular"/>
    <x v="1"/>
    <x v="0"/>
    <x v="1"/>
    <x v="6"/>
    <x v="2"/>
    <x v="0"/>
    <x v="0"/>
    <x v="1"/>
    <n v="0"/>
    <n v="0"/>
    <n v="1.417"/>
    <n v="0.56679999999999997"/>
    <n v="1.417"/>
    <n v="0.56679999999999997"/>
    <n v="0"/>
    <s v="CATIVO"/>
    <n v="0"/>
    <n v="0"/>
    <n v="31"/>
    <n v="69"/>
    <n v="0"/>
    <n v="269.45"/>
    <n v="213.27"/>
    <m/>
    <n v="421.14033355107131"/>
    <n v="179.54706321936715"/>
    <n v="0"/>
    <n v="503.67548399999998"/>
    <n v="0"/>
    <n v="565.03468268467645"/>
    <x v="3"/>
  </r>
  <r>
    <s v="Regular"/>
    <x v="1"/>
    <x v="0"/>
    <x v="1"/>
    <x v="6"/>
    <x v="2"/>
    <x v="0"/>
    <x v="0"/>
    <x v="2"/>
    <n v="0"/>
    <n v="0"/>
    <n v="1.6319999999999999"/>
    <n v="0.65280000000000005"/>
    <n v="1.6319999999999999"/>
    <n v="0.65280000000000005"/>
    <n v="0"/>
    <s v="CATIVO"/>
    <n v="0"/>
    <n v="0"/>
    <n v="31"/>
    <n v="69"/>
    <n v="0"/>
    <n v="269.45"/>
    <n v="213.27"/>
    <m/>
    <n v="421.14033355107131"/>
    <n v="179.54706321936715"/>
    <n v="0"/>
    <n v="580.0976639999999"/>
    <n v="0"/>
    <n v="650.76683284501905"/>
    <x v="3"/>
  </r>
  <r>
    <s v="Regular"/>
    <x v="1"/>
    <x v="0"/>
    <x v="1"/>
    <x v="6"/>
    <x v="2"/>
    <x v="0"/>
    <x v="0"/>
    <x v="3"/>
    <n v="0"/>
    <n v="0"/>
    <n v="2.3889999999999998"/>
    <n v="0.9556"/>
    <n v="2.3889999999999998"/>
    <n v="0.9556"/>
    <n v="0"/>
    <s v="CATIVO"/>
    <n v="0"/>
    <n v="0"/>
    <n v="31"/>
    <n v="69"/>
    <n v="0"/>
    <n v="269.45"/>
    <n v="213.27"/>
    <m/>
    <n v="421.14033355107131"/>
    <n v="179.54706321936715"/>
    <n v="0"/>
    <n v="849.17482799999993"/>
    <n v="0"/>
    <n v="952.62375224678328"/>
    <x v="3"/>
  </r>
  <r>
    <s v="Regular"/>
    <x v="1"/>
    <x v="0"/>
    <x v="1"/>
    <x v="6"/>
    <x v="2"/>
    <x v="0"/>
    <x v="0"/>
    <x v="4"/>
    <n v="0"/>
    <n v="0"/>
    <n v="3.42"/>
    <n v="1.3680000000000001"/>
    <n v="3.42"/>
    <n v="1.3680000000000001"/>
    <n v="0"/>
    <s v="CATIVO"/>
    <n v="0"/>
    <n v="0"/>
    <n v="31"/>
    <n v="69"/>
    <n v="0"/>
    <n v="269.45"/>
    <n v="213.27"/>
    <m/>
    <n v="421.14033355107131"/>
    <n v="179.54706321936715"/>
    <n v="0"/>
    <n v="1215.6458399999997"/>
    <n v="0"/>
    <n v="1363.7393188296353"/>
    <x v="3"/>
  </r>
  <r>
    <s v="Regular"/>
    <x v="1"/>
    <x v="0"/>
    <x v="1"/>
    <x v="6"/>
    <x v="2"/>
    <x v="0"/>
    <x v="0"/>
    <x v="5"/>
    <n v="0"/>
    <n v="0"/>
    <n v="3.9550000000000001"/>
    <n v="1.5820000000000001"/>
    <n v="3.9550000000000001"/>
    <n v="1.5820000000000001"/>
    <n v="0"/>
    <s v="CATIVO"/>
    <n v="0"/>
    <n v="0"/>
    <n v="31"/>
    <n v="69"/>
    <n v="0"/>
    <n v="269.45"/>
    <n v="213.27"/>
    <m/>
    <n v="421.14033355107131"/>
    <n v="179.54706321936715"/>
    <n v="0"/>
    <n v="1405.8126600000001"/>
    <n v="0"/>
    <n v="1577.0728087635114"/>
    <x v="3"/>
  </r>
  <r>
    <s v="Regular"/>
    <x v="1"/>
    <x v="0"/>
    <x v="1"/>
    <x v="6"/>
    <x v="2"/>
    <x v="0"/>
    <x v="0"/>
    <x v="6"/>
    <n v="0"/>
    <n v="0"/>
    <n v="2.3809999999999998"/>
    <n v="0.95240000000000002"/>
    <n v="2.3809999999999998"/>
    <n v="0.95240000000000002"/>
    <n v="0"/>
    <s v="CATIVO"/>
    <n v="0"/>
    <n v="0"/>
    <n v="31"/>
    <n v="69"/>
    <n v="0"/>
    <n v="269.45"/>
    <n v="213.27"/>
    <m/>
    <n v="421.14033355107131"/>
    <n v="179.54706321936715"/>
    <n v="0"/>
    <n v="846.33121199999982"/>
    <n v="0"/>
    <n v="949.43371875244497"/>
    <x v="3"/>
  </r>
  <r>
    <s v="Regular"/>
    <x v="1"/>
    <x v="0"/>
    <x v="1"/>
    <x v="6"/>
    <x v="2"/>
    <x v="0"/>
    <x v="0"/>
    <x v="7"/>
    <n v="0"/>
    <n v="0"/>
    <n v="2.88"/>
    <n v="1.1519999999999999"/>
    <n v="2.88"/>
    <n v="1.1519999999999999"/>
    <n v="0"/>
    <s v="CATIVO"/>
    <n v="0"/>
    <n v="0"/>
    <n v="31"/>
    <n v="69"/>
    <n v="0"/>
    <n v="269.45"/>
    <n v="213.27"/>
    <m/>
    <n v="421.14033355107131"/>
    <n v="179.54706321936715"/>
    <n v="0"/>
    <n v="1023.7017599999999"/>
    <n v="0"/>
    <n v="1148.4120579617984"/>
    <x v="3"/>
  </r>
  <r>
    <s v="Regular"/>
    <x v="1"/>
    <x v="0"/>
    <x v="1"/>
    <x v="6"/>
    <x v="2"/>
    <x v="0"/>
    <x v="0"/>
    <x v="8"/>
    <n v="0"/>
    <n v="0"/>
    <n v="2.907"/>
    <n v="1.1628000000000001"/>
    <n v="2.907"/>
    <n v="1.1628000000000001"/>
    <n v="0"/>
    <s v="CATIVO"/>
    <n v="0"/>
    <n v="0"/>
    <n v="31"/>
    <n v="69"/>
    <n v="0"/>
    <n v="269.45"/>
    <n v="213.27"/>
    <m/>
    <n v="421.14033355107131"/>
    <n v="179.54706321936715"/>
    <n v="0"/>
    <n v="1033.2989639999998"/>
    <n v="0"/>
    <n v="1159.1784210051901"/>
    <x v="3"/>
  </r>
  <r>
    <s v="Regular"/>
    <x v="1"/>
    <x v="0"/>
    <x v="1"/>
    <x v="6"/>
    <x v="2"/>
    <x v="0"/>
    <x v="0"/>
    <x v="9"/>
    <n v="0"/>
    <n v="0"/>
    <n v="0.53700000000000003"/>
    <n v="0.21479999999999999"/>
    <n v="0.53700000000000003"/>
    <n v="0.21479999999999999"/>
    <n v="0"/>
    <s v="CATIVO"/>
    <n v="0"/>
    <n v="0"/>
    <n v="31"/>
    <n v="69"/>
    <n v="0"/>
    <n v="269.45"/>
    <n v="213.27"/>
    <m/>
    <n v="421.14033355107131"/>
    <n v="179.54706321936715"/>
    <n v="0"/>
    <n v="190.87772400000003"/>
    <n v="0"/>
    <n v="214.13099830746035"/>
    <x v="3"/>
  </r>
  <r>
    <s v="Regular"/>
    <x v="1"/>
    <x v="0"/>
    <x v="1"/>
    <x v="6"/>
    <x v="2"/>
    <x v="0"/>
    <x v="0"/>
    <x v="10"/>
    <n v="0"/>
    <n v="0"/>
    <n v="0.435"/>
    <n v="0.17399999999999999"/>
    <n v="0.435"/>
    <n v="0.17399999999999999"/>
    <n v="0"/>
    <s v="CATIVO"/>
    <n v="0"/>
    <n v="0"/>
    <n v="31"/>
    <n v="69"/>
    <n v="0"/>
    <n v="269.45"/>
    <n v="213.27"/>
    <m/>
    <n v="421.14033355107131"/>
    <n v="179.54706321936715"/>
    <n v="0"/>
    <n v="154.62162000000001"/>
    <n v="0"/>
    <n v="173.45807125464665"/>
    <x v="3"/>
  </r>
  <r>
    <s v="PROJETADO"/>
    <x v="1"/>
    <x v="0"/>
    <x v="1"/>
    <x v="6"/>
    <x v="2"/>
    <x v="0"/>
    <x v="0"/>
    <x v="11"/>
    <n v="0"/>
    <n v="0"/>
    <n v="0.435"/>
    <n v="0.17399999999999999"/>
    <n v="0.435"/>
    <n v="0.17399999999999999"/>
    <n v="0"/>
    <s v="CATIVO"/>
    <n v="0"/>
    <n v="0"/>
    <n v="31"/>
    <n v="69"/>
    <n v="0"/>
    <n v="269.45"/>
    <n v="213.27"/>
    <m/>
    <n v="421.14033355107131"/>
    <n v="179.54706321936715"/>
    <n v="0"/>
    <n v="154.62162000000001"/>
    <n v="0"/>
    <n v="173.45807125464665"/>
    <x v="3"/>
  </r>
  <r>
    <s v="Regular"/>
    <x v="1"/>
    <x v="0"/>
    <x v="1"/>
    <x v="7"/>
    <x v="0"/>
    <x v="0"/>
    <x v="0"/>
    <x v="0"/>
    <n v="0"/>
    <n v="0"/>
    <n v="370.56599999999997"/>
    <n v="370.56599999999997"/>
    <n v="370.56599999999997"/>
    <n v="370.56599999999997"/>
    <n v="1600"/>
    <s v="CATIVO"/>
    <n v="0"/>
    <n v="0"/>
    <n v="31"/>
    <n v="69"/>
    <n v="0"/>
    <n v="269.45"/>
    <n v="213.27"/>
    <m/>
    <n v="421.14033355107131"/>
    <n v="179.54706321936715"/>
    <n v="0"/>
    <n v="24390.654119999985"/>
    <n v="0"/>
    <n v="14208.148459891567"/>
    <x v="2"/>
  </r>
  <r>
    <s v="Refaturamento - Regular"/>
    <x v="1"/>
    <x v="0"/>
    <x v="1"/>
    <x v="7"/>
    <x v="0"/>
    <x v="0"/>
    <x v="0"/>
    <x v="0"/>
    <n v="0"/>
    <n v="0"/>
    <n v="-0.499"/>
    <n v="-0.499"/>
    <n v="-0.499"/>
    <n v="-0.499"/>
    <n v="0"/>
    <s v="CATIVO"/>
    <n v="0"/>
    <n v="0"/>
    <n v="31"/>
    <n v="69"/>
    <n v="0"/>
    <n v="269.45"/>
    <n v="213.27"/>
    <m/>
    <n v="421.14033355107131"/>
    <n v="179.54706321936715"/>
    <n v="0"/>
    <n v="-32.84417999999998"/>
    <n v="0"/>
    <n v="-19.132532616283989"/>
    <x v="2"/>
  </r>
  <r>
    <s v="Sistema de Compensação"/>
    <x v="1"/>
    <x v="0"/>
    <x v="1"/>
    <x v="7"/>
    <x v="0"/>
    <x v="0"/>
    <x v="0"/>
    <x v="0"/>
    <n v="0"/>
    <n v="0"/>
    <n v="1.986"/>
    <n v="1.986"/>
    <n v="1.986"/>
    <n v="1.986"/>
    <n v="17"/>
    <s v="CATIVO"/>
    <n v="0"/>
    <n v="0"/>
    <n v="31"/>
    <n v="69"/>
    <n v="0"/>
    <n v="269.45"/>
    <n v="213.27"/>
    <m/>
    <n v="421.14033355107131"/>
    <n v="179.54706321936715"/>
    <n v="0"/>
    <n v="130.71851999999993"/>
    <n v="0"/>
    <n v="76.146712977835662"/>
    <x v="2"/>
  </r>
  <r>
    <s v="Regular"/>
    <x v="1"/>
    <x v="0"/>
    <x v="1"/>
    <x v="7"/>
    <x v="0"/>
    <x v="0"/>
    <x v="0"/>
    <x v="1"/>
    <n v="0"/>
    <n v="0"/>
    <n v="391.22899999999998"/>
    <n v="391.22899999999998"/>
    <n v="391.22899999999998"/>
    <n v="391.22899999999998"/>
    <n v="1640"/>
    <s v="CATIVO"/>
    <n v="0"/>
    <n v="0"/>
    <n v="31"/>
    <n v="69"/>
    <n v="0"/>
    <n v="269.45"/>
    <n v="213.27"/>
    <m/>
    <n v="421.14033355107131"/>
    <n v="179.54706321936715"/>
    <n v="0"/>
    <n v="25750.692779999987"/>
    <n v="0"/>
    <n v="15000.404013900135"/>
    <x v="2"/>
  </r>
  <r>
    <s v="Refaturamento - Regular"/>
    <x v="1"/>
    <x v="0"/>
    <x v="1"/>
    <x v="7"/>
    <x v="0"/>
    <x v="0"/>
    <x v="0"/>
    <x v="1"/>
    <n v="0"/>
    <n v="0"/>
    <n v="-0.153"/>
    <n v="-0.153"/>
    <n v="-0.153"/>
    <n v="-0.153"/>
    <n v="0"/>
    <s v="CATIVO"/>
    <n v="0"/>
    <n v="0"/>
    <n v="31"/>
    <n v="69"/>
    <n v="0"/>
    <n v="269.45"/>
    <n v="213.27"/>
    <m/>
    <n v="421.14033355107131"/>
    <n v="179.54706321936715"/>
    <n v="0"/>
    <n v="-10.070459999999995"/>
    <n v="0"/>
    <n v="-5.8662875556942886"/>
    <x v="2"/>
  </r>
  <r>
    <s v="Sistema de Compensação"/>
    <x v="1"/>
    <x v="0"/>
    <x v="1"/>
    <x v="7"/>
    <x v="0"/>
    <x v="0"/>
    <x v="0"/>
    <x v="1"/>
    <n v="0"/>
    <n v="0"/>
    <n v="2.456"/>
    <n v="2.456"/>
    <n v="2.456"/>
    <n v="2.456"/>
    <n v="18"/>
    <s v="CATIVO"/>
    <n v="0"/>
    <n v="0"/>
    <n v="31"/>
    <n v="69"/>
    <n v="0"/>
    <n v="269.45"/>
    <n v="213.27"/>
    <m/>
    <n v="421.14033355107131"/>
    <n v="179.54706321936715"/>
    <n v="0"/>
    <n v="161.65391999999991"/>
    <n v="0"/>
    <n v="94.167334880948843"/>
    <x v="2"/>
  </r>
  <r>
    <s v="Regular"/>
    <x v="1"/>
    <x v="0"/>
    <x v="1"/>
    <x v="7"/>
    <x v="0"/>
    <x v="0"/>
    <x v="0"/>
    <x v="2"/>
    <n v="0"/>
    <n v="0"/>
    <n v="501.84"/>
    <n v="501.84"/>
    <n v="501.84"/>
    <n v="501.84"/>
    <n v="1656"/>
    <s v="CATIVO"/>
    <n v="0"/>
    <n v="0"/>
    <n v="31"/>
    <n v="69"/>
    <n v="0"/>
    <n v="269.45"/>
    <n v="213.27"/>
    <m/>
    <n v="421.14033355107131"/>
    <n v="179.54706321936715"/>
    <n v="0"/>
    <n v="33031.10879999998"/>
    <n v="0"/>
    <n v="19241.423182677267"/>
    <x v="2"/>
  </r>
  <r>
    <s v="Sistema de Compensação"/>
    <x v="1"/>
    <x v="0"/>
    <x v="1"/>
    <x v="7"/>
    <x v="0"/>
    <x v="0"/>
    <x v="0"/>
    <x v="2"/>
    <n v="0"/>
    <n v="0"/>
    <n v="6.399"/>
    <n v="6.399"/>
    <n v="6.399"/>
    <n v="6.399"/>
    <n v="21"/>
    <s v="CATIVO"/>
    <n v="0"/>
    <n v="0"/>
    <n v="31"/>
    <n v="69"/>
    <n v="0"/>
    <n v="269.45"/>
    <n v="213.27"/>
    <m/>
    <n v="421.14033355107131"/>
    <n v="179.54706321936715"/>
    <n v="0"/>
    <n v="421.18217999999979"/>
    <n v="0"/>
    <n v="245.34885012344935"/>
    <x v="2"/>
  </r>
  <r>
    <s v="Regular"/>
    <x v="1"/>
    <x v="0"/>
    <x v="1"/>
    <x v="7"/>
    <x v="0"/>
    <x v="0"/>
    <x v="0"/>
    <x v="3"/>
    <n v="0"/>
    <n v="0"/>
    <n v="530.64599999999996"/>
    <n v="530.64599999999996"/>
    <n v="530.64599999999996"/>
    <n v="530.64599999999996"/>
    <n v="1664"/>
    <s v="CATIVO"/>
    <n v="0"/>
    <n v="0"/>
    <n v="31"/>
    <n v="69"/>
    <n v="0"/>
    <n v="269.45"/>
    <n v="213.27"/>
    <m/>
    <n v="421.14033355107131"/>
    <n v="179.54706321936715"/>
    <n v="0"/>
    <n v="34927.119719999981"/>
    <n v="0"/>
    <n v="20345.895596594451"/>
    <x v="2"/>
  </r>
  <r>
    <s v="Refaturamento - Regular"/>
    <x v="1"/>
    <x v="0"/>
    <x v="1"/>
    <x v="7"/>
    <x v="0"/>
    <x v="0"/>
    <x v="0"/>
    <x v="3"/>
    <n v="0"/>
    <n v="0"/>
    <n v="-0.61599999999999999"/>
    <n v="-0.61599999999999999"/>
    <n v="-0.61599999999999999"/>
    <n v="-0.61599999999999999"/>
    <n v="0"/>
    <s v="CATIVO"/>
    <n v="0"/>
    <n v="0"/>
    <n v="31"/>
    <n v="69"/>
    <n v="0"/>
    <n v="269.45"/>
    <n v="213.27"/>
    <m/>
    <n v="421.14033355107131"/>
    <n v="179.54706321936715"/>
    <n v="0"/>
    <n v="-40.545119999999976"/>
    <n v="0"/>
    <n v="-23.618517217697267"/>
    <x v="2"/>
  </r>
  <r>
    <s v="Sistema de Compensação"/>
    <x v="1"/>
    <x v="0"/>
    <x v="1"/>
    <x v="7"/>
    <x v="0"/>
    <x v="0"/>
    <x v="0"/>
    <x v="3"/>
    <n v="0"/>
    <n v="0"/>
    <n v="11.766"/>
    <n v="11.766"/>
    <n v="11.766"/>
    <n v="11.766"/>
    <n v="21"/>
    <s v="CATIVO"/>
    <n v="0"/>
    <n v="0"/>
    <n v="31"/>
    <n v="69"/>
    <n v="0"/>
    <n v="269.45"/>
    <n v="213.27"/>
    <m/>
    <n v="421.14033355107131"/>
    <n v="179.54706321936715"/>
    <n v="0"/>
    <n v="774.43811999999957"/>
    <n v="0"/>
    <n v="451.12901555750977"/>
    <x v="2"/>
  </r>
  <r>
    <s v="Regular"/>
    <x v="1"/>
    <x v="0"/>
    <x v="1"/>
    <x v="7"/>
    <x v="0"/>
    <x v="0"/>
    <x v="0"/>
    <x v="4"/>
    <n v="0"/>
    <n v="0"/>
    <n v="526.49800000000005"/>
    <n v="526.49800000000005"/>
    <n v="526.49800000000005"/>
    <n v="526.49800000000005"/>
    <n v="1665"/>
    <s v="CATIVO"/>
    <n v="0"/>
    <n v="0"/>
    <n v="31"/>
    <n v="69"/>
    <n v="0"/>
    <n v="269.45"/>
    <n v="213.27"/>
    <m/>
    <n v="421.14033355107131"/>
    <n v="179.54706321936715"/>
    <n v="0"/>
    <n v="34654.098359999982"/>
    <n v="0"/>
    <n v="20186.854022862299"/>
    <x v="2"/>
  </r>
  <r>
    <s v="Refaturamento - Regular"/>
    <x v="1"/>
    <x v="0"/>
    <x v="1"/>
    <x v="7"/>
    <x v="0"/>
    <x v="0"/>
    <x v="0"/>
    <x v="4"/>
    <n v="0"/>
    <n v="0"/>
    <n v="-0.33300000000000002"/>
    <n v="-0.33300000000000002"/>
    <n v="-0.33300000000000002"/>
    <n v="-0.33300000000000002"/>
    <n v="0"/>
    <s v="CATIVO"/>
    <n v="0"/>
    <n v="0"/>
    <n v="31"/>
    <n v="69"/>
    <n v="0"/>
    <n v="269.45"/>
    <n v="213.27"/>
    <m/>
    <n v="421.14033355107131"/>
    <n v="179.54706321936715"/>
    <n v="0"/>
    <n v="-21.91805999999999"/>
    <n v="0"/>
    <n v="-12.767802327099334"/>
    <x v="2"/>
  </r>
  <r>
    <s v="Sistema de Compensação"/>
    <x v="1"/>
    <x v="0"/>
    <x v="1"/>
    <x v="7"/>
    <x v="0"/>
    <x v="0"/>
    <x v="0"/>
    <x v="4"/>
    <n v="0"/>
    <n v="0"/>
    <n v="6.0789999999999997"/>
    <n v="6.0789999999999997"/>
    <n v="6.0789999999999997"/>
    <n v="6.0789999999999997"/>
    <n v="22"/>
    <s v="CATIVO"/>
    <n v="0"/>
    <n v="0"/>
    <n v="31"/>
    <n v="69"/>
    <n v="0"/>
    <n v="269.45"/>
    <n v="213.27"/>
    <m/>
    <n v="421.14033355107131"/>
    <n v="179.54706321936715"/>
    <n v="0"/>
    <n v="400.11977999999976"/>
    <n v="0"/>
    <n v="233.07949052984037"/>
    <x v="2"/>
  </r>
  <r>
    <s v="Regular"/>
    <x v="1"/>
    <x v="0"/>
    <x v="1"/>
    <x v="7"/>
    <x v="0"/>
    <x v="0"/>
    <x v="0"/>
    <x v="5"/>
    <n v="0"/>
    <n v="0"/>
    <n v="527.05999999999995"/>
    <n v="527.05999999999995"/>
    <n v="527.05999999999995"/>
    <n v="527.05999999999995"/>
    <n v="1666"/>
    <s v="CATIVO"/>
    <n v="0"/>
    <n v="0"/>
    <n v="31"/>
    <n v="69"/>
    <n v="0"/>
    <n v="269.45"/>
    <n v="213.27"/>
    <m/>
    <n v="421.14033355107131"/>
    <n v="179.54706321936715"/>
    <n v="0"/>
    <n v="34691.08919999998"/>
    <n v="0"/>
    <n v="20208.402085648573"/>
    <x v="2"/>
  </r>
  <r>
    <s v="Refaturamento - Regular"/>
    <x v="1"/>
    <x v="0"/>
    <x v="1"/>
    <x v="7"/>
    <x v="0"/>
    <x v="0"/>
    <x v="0"/>
    <x v="5"/>
    <n v="0"/>
    <n v="0"/>
    <n v="-2.5049999999999999"/>
    <n v="-2.5049999999999999"/>
    <n v="-2.5049999999999999"/>
    <n v="-2.5049999999999999"/>
    <n v="0"/>
    <s v="CATIVO"/>
    <n v="0"/>
    <n v="0"/>
    <n v="31"/>
    <n v="69"/>
    <n v="0"/>
    <n v="269.45"/>
    <n v="213.27"/>
    <m/>
    <n v="421.14033355107131"/>
    <n v="179.54706321936715"/>
    <n v="0"/>
    <n v="-164.87909999999991"/>
    <n v="0"/>
    <n v="-96.046080568720214"/>
    <x v="2"/>
  </r>
  <r>
    <s v="Sistema de Compensação"/>
    <x v="1"/>
    <x v="0"/>
    <x v="1"/>
    <x v="7"/>
    <x v="0"/>
    <x v="0"/>
    <x v="0"/>
    <x v="5"/>
    <n v="0"/>
    <n v="0"/>
    <n v="2.11"/>
    <n v="2.11"/>
    <n v="2.11"/>
    <n v="2.11"/>
    <n v="19"/>
    <s v="CATIVO"/>
    <n v="0"/>
    <n v="0"/>
    <n v="31"/>
    <n v="69"/>
    <n v="0"/>
    <n v="269.45"/>
    <n v="213.27"/>
    <m/>
    <n v="421.14033355107131"/>
    <n v="179.54706321936715"/>
    <n v="0"/>
    <n v="138.88019999999992"/>
    <n v="0"/>
    <n v="80.901089820359132"/>
    <x v="2"/>
  </r>
  <r>
    <s v="Regular"/>
    <x v="1"/>
    <x v="0"/>
    <x v="1"/>
    <x v="7"/>
    <x v="0"/>
    <x v="0"/>
    <x v="0"/>
    <x v="6"/>
    <n v="0"/>
    <n v="0"/>
    <n v="463.68700000000001"/>
    <n v="463.68700000000001"/>
    <n v="463.68700000000001"/>
    <n v="463.68700000000001"/>
    <n v="1623"/>
    <s v="CATIVO"/>
    <n v="0"/>
    <n v="0"/>
    <n v="31"/>
    <n v="69"/>
    <n v="0"/>
    <n v="269.45"/>
    <n v="213.27"/>
    <m/>
    <n v="421.14033355107131"/>
    <n v="179.54706321936715"/>
    <n v="0"/>
    <n v="30519.878339999985"/>
    <n v="0"/>
    <n v="17778.570443380508"/>
    <x v="2"/>
  </r>
  <r>
    <s v="Refaturamento - Regular"/>
    <x v="1"/>
    <x v="0"/>
    <x v="1"/>
    <x v="7"/>
    <x v="0"/>
    <x v="0"/>
    <x v="0"/>
    <x v="6"/>
    <n v="0"/>
    <n v="0"/>
    <n v="-0.53400000000000003"/>
    <n v="-0.53400000000000003"/>
    <n v="-0.53400000000000003"/>
    <n v="-0.53400000000000003"/>
    <n v="0"/>
    <s v="CATIVO"/>
    <n v="0"/>
    <n v="0"/>
    <n v="31"/>
    <n v="69"/>
    <n v="0"/>
    <n v="269.45"/>
    <n v="213.27"/>
    <m/>
    <n v="421.14033355107131"/>
    <n v="179.54706321936715"/>
    <n v="0"/>
    <n v="-35.147879999999986"/>
    <n v="0"/>
    <n v="-20.474493821834969"/>
    <x v="2"/>
  </r>
  <r>
    <s v="Sistema de Compensação"/>
    <x v="1"/>
    <x v="0"/>
    <x v="1"/>
    <x v="7"/>
    <x v="0"/>
    <x v="0"/>
    <x v="0"/>
    <x v="6"/>
    <n v="0"/>
    <n v="0"/>
    <n v="2.7160000000000002"/>
    <n v="2.7160000000000002"/>
    <n v="2.7160000000000002"/>
    <n v="2.7160000000000002"/>
    <n v="19"/>
    <s v="CATIVO"/>
    <n v="0"/>
    <n v="0"/>
    <n v="31"/>
    <n v="69"/>
    <n v="0"/>
    <n v="269.45"/>
    <n v="213.27"/>
    <m/>
    <n v="421.14033355107131"/>
    <n v="179.54706321936715"/>
    <n v="0"/>
    <n v="178.76711999999992"/>
    <n v="0"/>
    <n v="104.13618955075614"/>
    <x v="2"/>
  </r>
  <r>
    <s v="Regular"/>
    <x v="1"/>
    <x v="0"/>
    <x v="1"/>
    <x v="7"/>
    <x v="0"/>
    <x v="0"/>
    <x v="0"/>
    <x v="7"/>
    <n v="0"/>
    <n v="0"/>
    <n v="504.02499999999998"/>
    <n v="504.02499999999998"/>
    <n v="504.02499999999998"/>
    <n v="504.02499999999998"/>
    <n v="1584"/>
    <s v="CATIVO"/>
    <n v="0"/>
    <n v="0"/>
    <n v="31"/>
    <n v="69"/>
    <n v="0"/>
    <n v="269.45"/>
    <n v="213.27"/>
    <m/>
    <n v="421.14033355107131"/>
    <n v="179.54706321936715"/>
    <n v="0"/>
    <n v="33174.925499999983"/>
    <n v="0"/>
    <n v="19325.199903652378"/>
    <x v="2"/>
  </r>
  <r>
    <s v="Refaturamento - Regular"/>
    <x v="1"/>
    <x v="0"/>
    <x v="1"/>
    <x v="7"/>
    <x v="0"/>
    <x v="0"/>
    <x v="0"/>
    <x v="7"/>
    <n v="0"/>
    <n v="0"/>
    <n v="-0.1"/>
    <n v="-0.1"/>
    <n v="-0.1"/>
    <n v="-0.1"/>
    <n v="0"/>
    <s v="CATIVO"/>
    <n v="0"/>
    <n v="0"/>
    <n v="31"/>
    <n v="69"/>
    <n v="0"/>
    <n v="269.45"/>
    <n v="213.27"/>
    <m/>
    <n v="421.14033355107131"/>
    <n v="179.54706321936715"/>
    <n v="0"/>
    <n v="-6.5819999999999972"/>
    <n v="0"/>
    <n v="-3.8341748730028034"/>
    <x v="2"/>
  </r>
  <r>
    <s v="Sistema de Compensação"/>
    <x v="1"/>
    <x v="0"/>
    <x v="1"/>
    <x v="7"/>
    <x v="0"/>
    <x v="0"/>
    <x v="0"/>
    <x v="7"/>
    <n v="0"/>
    <n v="0"/>
    <n v="3.0870000000000002"/>
    <n v="3.0870000000000002"/>
    <n v="3.0870000000000002"/>
    <n v="3.0870000000000002"/>
    <n v="21"/>
    <s v="CATIVO"/>
    <n v="0"/>
    <n v="0"/>
    <n v="31"/>
    <n v="69"/>
    <n v="0"/>
    <n v="269.45"/>
    <n v="213.27"/>
    <m/>
    <n v="421.14033355107131"/>
    <n v="179.54706321936715"/>
    <n v="0"/>
    <n v="203.18633999999992"/>
    <n v="0"/>
    <n v="118.36097832959653"/>
    <x v="2"/>
  </r>
  <r>
    <s v="Regular"/>
    <x v="1"/>
    <x v="0"/>
    <x v="1"/>
    <x v="7"/>
    <x v="0"/>
    <x v="0"/>
    <x v="0"/>
    <x v="8"/>
    <n v="0"/>
    <n v="0"/>
    <n v="404.67"/>
    <n v="404.67"/>
    <n v="404.67"/>
    <n v="404.67"/>
    <n v="1557"/>
    <s v="CATIVO"/>
    <n v="0"/>
    <n v="0"/>
    <n v="31"/>
    <n v="69"/>
    <n v="0"/>
    <n v="269.45"/>
    <n v="213.27"/>
    <m/>
    <n v="421.14033355107131"/>
    <n v="179.54706321936715"/>
    <n v="0"/>
    <n v="26635.379399999987"/>
    <n v="0"/>
    <n v="15515.755458580443"/>
    <x v="2"/>
  </r>
  <r>
    <s v="Refaturamento - Regular"/>
    <x v="1"/>
    <x v="0"/>
    <x v="1"/>
    <x v="7"/>
    <x v="0"/>
    <x v="0"/>
    <x v="0"/>
    <x v="8"/>
    <n v="0"/>
    <n v="0"/>
    <n v="-0.159"/>
    <n v="-0.159"/>
    <n v="-0.159"/>
    <n v="-0.159"/>
    <n v="0"/>
    <s v="CATIVO"/>
    <n v="0"/>
    <n v="0"/>
    <n v="31"/>
    <n v="69"/>
    <n v="0"/>
    <n v="269.45"/>
    <n v="213.27"/>
    <m/>
    <n v="421.14033355107131"/>
    <n v="179.54706321936715"/>
    <n v="0"/>
    <n v="-10.465379999999994"/>
    <n v="0"/>
    <n v="-6.0963380480744567"/>
    <x v="2"/>
  </r>
  <r>
    <s v="Sistema de Compensação"/>
    <x v="1"/>
    <x v="0"/>
    <x v="1"/>
    <x v="7"/>
    <x v="0"/>
    <x v="0"/>
    <x v="0"/>
    <x v="8"/>
    <n v="0"/>
    <n v="0"/>
    <n v="4.9390000000000001"/>
    <n v="4.9390000000000001"/>
    <n v="4.9390000000000001"/>
    <n v="4.9390000000000001"/>
    <n v="21"/>
    <s v="CATIVO"/>
    <n v="0"/>
    <n v="0"/>
    <n v="31"/>
    <n v="69"/>
    <n v="0"/>
    <n v="269.45"/>
    <n v="213.27"/>
    <m/>
    <n v="421.14033355107131"/>
    <n v="179.54706321936715"/>
    <n v="0"/>
    <n v="325.0849799999998"/>
    <n v="0"/>
    <n v="189.36989697760845"/>
    <x v="2"/>
  </r>
  <r>
    <s v="Regular"/>
    <x v="1"/>
    <x v="0"/>
    <x v="1"/>
    <x v="7"/>
    <x v="0"/>
    <x v="0"/>
    <x v="0"/>
    <x v="9"/>
    <n v="0"/>
    <n v="0"/>
    <n v="383.12400000000002"/>
    <n v="383.12400000000002"/>
    <n v="383.12400000000002"/>
    <n v="383.12400000000002"/>
    <n v="1543"/>
    <s v="CATIVO"/>
    <n v="0"/>
    <n v="0"/>
    <n v="31"/>
    <n v="69"/>
    <n v="0"/>
    <n v="269.45"/>
    <n v="213.27"/>
    <m/>
    <n v="421.14033355107131"/>
    <n v="179.54706321936715"/>
    <n v="0"/>
    <n v="25217.221679999988"/>
    <n v="0"/>
    <n v="14689.644140443261"/>
    <x v="2"/>
  </r>
  <r>
    <s v="Sistema de Compensação"/>
    <x v="1"/>
    <x v="0"/>
    <x v="1"/>
    <x v="7"/>
    <x v="0"/>
    <x v="0"/>
    <x v="0"/>
    <x v="9"/>
    <n v="0"/>
    <n v="0"/>
    <n v="7.4859999999999998"/>
    <n v="7.4859999999999998"/>
    <n v="7.4859999999999998"/>
    <n v="7.4859999999999998"/>
    <n v="22"/>
    <s v="CATIVO"/>
    <n v="0"/>
    <n v="0"/>
    <n v="31"/>
    <n v="69"/>
    <n v="0"/>
    <n v="269.45"/>
    <n v="213.27"/>
    <m/>
    <n v="421.14033355107131"/>
    <n v="179.54706321936715"/>
    <n v="0"/>
    <n v="492.72851999999972"/>
    <n v="0"/>
    <n v="287.02633099298981"/>
    <x v="2"/>
  </r>
  <r>
    <s v="Regular"/>
    <x v="1"/>
    <x v="0"/>
    <x v="1"/>
    <x v="7"/>
    <x v="0"/>
    <x v="0"/>
    <x v="0"/>
    <x v="10"/>
    <n v="0"/>
    <n v="0"/>
    <n v="348.16500000000002"/>
    <n v="348.16500000000002"/>
    <n v="348.16500000000002"/>
    <n v="348.16500000000002"/>
    <n v="1534"/>
    <s v="CATIVO"/>
    <n v="0"/>
    <n v="0"/>
    <n v="31"/>
    <n v="69"/>
    <n v="0"/>
    <n v="269.45"/>
    <n v="213.27"/>
    <m/>
    <n v="421.14033355107131"/>
    <n v="179.54706321936715"/>
    <n v="0"/>
    <n v="22916.22029999999"/>
    <n v="0"/>
    <n v="13349.25494659021"/>
    <x v="2"/>
  </r>
  <r>
    <s v="Refaturamento - Regular"/>
    <x v="1"/>
    <x v="0"/>
    <x v="1"/>
    <x v="7"/>
    <x v="0"/>
    <x v="0"/>
    <x v="0"/>
    <x v="10"/>
    <n v="0"/>
    <n v="0"/>
    <n v="-3.19"/>
    <n v="-3.19"/>
    <n v="-3.19"/>
    <n v="-3.19"/>
    <n v="0"/>
    <s v="CATIVO"/>
    <n v="0"/>
    <n v="0"/>
    <n v="31"/>
    <n v="69"/>
    <n v="0"/>
    <n v="269.45"/>
    <n v="213.27"/>
    <m/>
    <n v="421.14033355107131"/>
    <n v="179.54706321936715"/>
    <n v="0"/>
    <n v="-209.96579999999989"/>
    <n v="0"/>
    <n v="-122.31017844878942"/>
    <x v="2"/>
  </r>
  <r>
    <s v="Sistema de Compensação"/>
    <x v="1"/>
    <x v="0"/>
    <x v="1"/>
    <x v="7"/>
    <x v="0"/>
    <x v="0"/>
    <x v="0"/>
    <x v="10"/>
    <n v="0"/>
    <n v="0"/>
    <n v="9.1839999999999993"/>
    <n v="9.1839999999999993"/>
    <n v="9.1839999999999993"/>
    <n v="9.1839999999999993"/>
    <n v="25"/>
    <s v="CATIVO"/>
    <n v="0"/>
    <n v="0"/>
    <n v="31"/>
    <n v="69"/>
    <n v="0"/>
    <n v="269.45"/>
    <n v="213.27"/>
    <m/>
    <n v="421.14033355107131"/>
    <n v="179.54706321936715"/>
    <n v="0"/>
    <n v="604.49087999999961"/>
    <n v="0"/>
    <n v="352.13062033657741"/>
    <x v="2"/>
  </r>
  <r>
    <s v="PROJETADO"/>
    <x v="1"/>
    <x v="0"/>
    <x v="1"/>
    <x v="7"/>
    <x v="0"/>
    <x v="0"/>
    <x v="0"/>
    <x v="11"/>
    <n v="0"/>
    <n v="0"/>
    <n v="348.16500000000002"/>
    <n v="348.16500000000002"/>
    <n v="348.16500000000002"/>
    <n v="348.16500000000002"/>
    <n v="1534"/>
    <s v="CATIVO"/>
    <n v="0"/>
    <n v="0"/>
    <n v="31"/>
    <n v="69"/>
    <n v="0"/>
    <n v="269.45"/>
    <n v="213.27"/>
    <m/>
    <n v="421.14033355107131"/>
    <n v="179.54706321936715"/>
    <n v="0"/>
    <n v="22916.22029999999"/>
    <n v="0"/>
    <n v="13349.25494659021"/>
    <x v="2"/>
  </r>
  <r>
    <s v="PROJETADO"/>
    <x v="1"/>
    <x v="0"/>
    <x v="1"/>
    <x v="7"/>
    <x v="0"/>
    <x v="0"/>
    <x v="0"/>
    <x v="11"/>
    <n v="0"/>
    <n v="0"/>
    <n v="-3.19"/>
    <n v="-3.19"/>
    <n v="-3.19"/>
    <n v="-3.19"/>
    <n v="0"/>
    <s v="CATIVO"/>
    <n v="0"/>
    <n v="0"/>
    <n v="31"/>
    <n v="69"/>
    <n v="0"/>
    <n v="269.45"/>
    <n v="213.27"/>
    <m/>
    <n v="421.14033355107131"/>
    <n v="179.54706321936715"/>
    <n v="0"/>
    <n v="-209.96579999999989"/>
    <n v="0"/>
    <n v="-122.31017844878942"/>
    <x v="2"/>
  </r>
  <r>
    <s v="PROJETADO"/>
    <x v="1"/>
    <x v="0"/>
    <x v="1"/>
    <x v="7"/>
    <x v="0"/>
    <x v="0"/>
    <x v="0"/>
    <x v="11"/>
    <n v="0"/>
    <n v="0"/>
    <n v="9.1839999999999993"/>
    <n v="9.1839999999999993"/>
    <n v="9.1839999999999993"/>
    <n v="9.1839999999999993"/>
    <n v="25"/>
    <s v="CATIVO"/>
    <n v="0"/>
    <n v="0"/>
    <n v="31"/>
    <n v="69"/>
    <n v="0"/>
    <n v="269.45"/>
    <n v="213.27"/>
    <m/>
    <n v="421.14033355107131"/>
    <n v="179.54706321936715"/>
    <n v="0"/>
    <n v="604.49087999999961"/>
    <n v="0"/>
    <n v="352.13062033657741"/>
    <x v="2"/>
  </r>
  <r>
    <s v="Regular"/>
    <x v="2"/>
    <x v="0"/>
    <x v="2"/>
    <x v="8"/>
    <x v="0"/>
    <x v="0"/>
    <x v="0"/>
    <x v="0"/>
    <n v="0"/>
    <n v="0"/>
    <n v="19.818999999999999"/>
    <n v="18.629859999999997"/>
    <n v="19.818999999999999"/>
    <n v="18.629859999999997"/>
    <n v="4"/>
    <s v="CATIVO"/>
    <n v="0"/>
    <n v="0"/>
    <n v="46"/>
    <n v="84"/>
    <n v="0"/>
    <n v="306.19"/>
    <n v="242.35"/>
    <m/>
    <n v="448.02163143730991"/>
    <n v="191.00751406315655"/>
    <n v="0"/>
    <n v="652.29085560000112"/>
    <n v="0"/>
    <n v="759.89511808042585"/>
    <x v="4"/>
  </r>
  <r>
    <s v="Regular"/>
    <x v="2"/>
    <x v="0"/>
    <x v="2"/>
    <x v="8"/>
    <x v="0"/>
    <x v="0"/>
    <x v="0"/>
    <x v="1"/>
    <n v="0"/>
    <n v="0"/>
    <n v="22.408999999999999"/>
    <n v="21.064459999999997"/>
    <n v="22.408999999999999"/>
    <n v="21.064459999999997"/>
    <n v="4"/>
    <s v="CATIVO"/>
    <n v="0"/>
    <n v="0"/>
    <n v="46"/>
    <n v="84"/>
    <n v="0"/>
    <n v="306.19"/>
    <n v="242.35"/>
    <m/>
    <n v="448.02163143730991"/>
    <n v="191.00751406315655"/>
    <n v="0"/>
    <n v="737.53397160000111"/>
    <n v="0"/>
    <n v="859.20024729119859"/>
    <x v="4"/>
  </r>
  <r>
    <s v="Regular"/>
    <x v="2"/>
    <x v="0"/>
    <x v="2"/>
    <x v="8"/>
    <x v="0"/>
    <x v="0"/>
    <x v="0"/>
    <x v="2"/>
    <n v="0"/>
    <n v="0"/>
    <n v="20.324000000000002"/>
    <n v="19.104559999999999"/>
    <n v="20.324000000000002"/>
    <n v="19.104559999999999"/>
    <n v="4"/>
    <s v="CATIVO"/>
    <n v="0"/>
    <n v="0"/>
    <n v="46"/>
    <n v="84"/>
    <n v="0"/>
    <n v="306.19"/>
    <n v="242.35"/>
    <m/>
    <n v="448.02163143730991"/>
    <n v="191.00751406315655"/>
    <n v="0"/>
    <n v="668.91161760000125"/>
    <n v="0"/>
    <n v="779.25770118909031"/>
    <x v="4"/>
  </r>
  <r>
    <s v="Regular"/>
    <x v="2"/>
    <x v="0"/>
    <x v="2"/>
    <x v="8"/>
    <x v="0"/>
    <x v="0"/>
    <x v="0"/>
    <x v="3"/>
    <n v="0"/>
    <n v="0"/>
    <n v="22.574000000000002"/>
    <n v="21.219560000000001"/>
    <n v="22.574000000000002"/>
    <n v="21.219560000000001"/>
    <n v="4"/>
    <s v="CATIVO"/>
    <n v="0"/>
    <n v="0"/>
    <n v="46"/>
    <n v="84"/>
    <n v="0"/>
    <n v="306.19"/>
    <n v="242.35"/>
    <m/>
    <n v="448.02163143730991"/>
    <n v="191.00751406315655"/>
    <n v="0"/>
    <n v="742.96451760000014"/>
    <n v="0"/>
    <n v="865.5266358316519"/>
    <x v="4"/>
  </r>
  <r>
    <s v="Regular"/>
    <x v="2"/>
    <x v="0"/>
    <x v="2"/>
    <x v="8"/>
    <x v="0"/>
    <x v="0"/>
    <x v="0"/>
    <x v="4"/>
    <n v="0"/>
    <n v="0"/>
    <n v="17.370999999999999"/>
    <n v="16.32874"/>
    <n v="17.370999999999999"/>
    <n v="16.32874"/>
    <n v="4"/>
    <s v="CATIVO"/>
    <n v="0"/>
    <n v="0"/>
    <n v="46"/>
    <n v="84"/>
    <n v="0"/>
    <n v="306.19"/>
    <n v="242.35"/>
    <m/>
    <n v="448.02163143730991"/>
    <n v="191.00751406315655"/>
    <n v="0"/>
    <n v="571.72130039999934"/>
    <n v="0"/>
    <n v="666.03451718931547"/>
    <x v="4"/>
  </r>
  <r>
    <s v="Regular"/>
    <x v="2"/>
    <x v="0"/>
    <x v="2"/>
    <x v="8"/>
    <x v="0"/>
    <x v="0"/>
    <x v="0"/>
    <x v="5"/>
    <n v="0"/>
    <n v="0"/>
    <n v="20.225000000000001"/>
    <n v="19.011500000000002"/>
    <n v="20.225000000000001"/>
    <n v="19.011500000000002"/>
    <n v="4"/>
    <s v="CATIVO"/>
    <n v="0"/>
    <n v="0"/>
    <n v="46"/>
    <n v="84"/>
    <n v="0"/>
    <n v="306.19"/>
    <n v="242.35"/>
    <m/>
    <n v="448.02163143730991"/>
    <n v="191.00751406315655"/>
    <n v="0"/>
    <n v="665.65328999999986"/>
    <n v="0"/>
    <n v="775.46186806481592"/>
    <x v="4"/>
  </r>
  <r>
    <s v="Regular"/>
    <x v="2"/>
    <x v="0"/>
    <x v="2"/>
    <x v="8"/>
    <x v="0"/>
    <x v="0"/>
    <x v="0"/>
    <x v="6"/>
    <n v="0"/>
    <n v="0"/>
    <n v="17.375"/>
    <n v="16.3325"/>
    <n v="17.375"/>
    <n v="16.3325"/>
    <n v="4"/>
    <s v="CATIVO"/>
    <n v="0"/>
    <n v="0"/>
    <n v="46"/>
    <n v="84"/>
    <n v="0"/>
    <n v="306.19"/>
    <n v="242.35"/>
    <m/>
    <n v="448.02163143730991"/>
    <n v="191.00751406315655"/>
    <n v="0"/>
    <n v="571.85295000000019"/>
    <n v="0"/>
    <n v="666.18788418423651"/>
    <x v="4"/>
  </r>
  <r>
    <s v="Regular"/>
    <x v="2"/>
    <x v="0"/>
    <x v="2"/>
    <x v="8"/>
    <x v="0"/>
    <x v="0"/>
    <x v="0"/>
    <x v="7"/>
    <n v="0"/>
    <n v="0"/>
    <n v="19.263999999999999"/>
    <n v="18.108160000000002"/>
    <n v="19.263999999999999"/>
    <n v="18.108160000000002"/>
    <n v="4"/>
    <s v="CATIVO"/>
    <n v="0"/>
    <n v="0"/>
    <n v="46"/>
    <n v="84"/>
    <n v="0"/>
    <n v="306.19"/>
    <n v="242.35"/>
    <m/>
    <n v="448.02163143730991"/>
    <n v="191.00751406315655"/>
    <n v="0"/>
    <n v="634.02447359999883"/>
    <n v="0"/>
    <n v="738.61544753525766"/>
    <x v="4"/>
  </r>
  <r>
    <s v="Regular"/>
    <x v="2"/>
    <x v="0"/>
    <x v="2"/>
    <x v="8"/>
    <x v="0"/>
    <x v="0"/>
    <x v="0"/>
    <x v="8"/>
    <n v="0"/>
    <n v="0"/>
    <n v="18.681999999999999"/>
    <n v="17.56108"/>
    <n v="18.681999999999999"/>
    <n v="17.56108"/>
    <n v="4"/>
    <s v="CATIVO"/>
    <n v="0"/>
    <n v="0"/>
    <n v="46"/>
    <n v="84"/>
    <n v="0"/>
    <n v="306.19"/>
    <n v="242.35"/>
    <m/>
    <n v="448.02163143730991"/>
    <n v="191.00751406315655"/>
    <n v="0"/>
    <n v="614.86945679999894"/>
    <n v="0"/>
    <n v="716.30054977438169"/>
    <x v="4"/>
  </r>
  <r>
    <s v="Regular"/>
    <x v="2"/>
    <x v="0"/>
    <x v="2"/>
    <x v="8"/>
    <x v="0"/>
    <x v="0"/>
    <x v="0"/>
    <x v="9"/>
    <n v="0"/>
    <n v="0"/>
    <n v="20.315000000000001"/>
    <n v="19.0961"/>
    <n v="20.315000000000001"/>
    <n v="19.0961"/>
    <n v="4"/>
    <s v="CATIVO"/>
    <n v="0"/>
    <n v="0"/>
    <n v="46"/>
    <n v="84"/>
    <n v="0"/>
    <n v="306.19"/>
    <n v="242.35"/>
    <m/>
    <n v="448.02163143730991"/>
    <n v="191.00751406315655"/>
    <n v="0"/>
    <n v="668.6154060000008"/>
    <n v="0"/>
    <n v="778.9126254505195"/>
    <x v="4"/>
  </r>
  <r>
    <s v="Regular"/>
    <x v="2"/>
    <x v="0"/>
    <x v="2"/>
    <x v="8"/>
    <x v="0"/>
    <x v="0"/>
    <x v="0"/>
    <x v="10"/>
    <n v="0"/>
    <n v="0"/>
    <n v="19.311"/>
    <n v="18.152339999999999"/>
    <n v="19.311"/>
    <n v="18.152339999999999"/>
    <n v="4"/>
    <s v="CATIVO"/>
    <n v="0"/>
    <n v="0"/>
    <n v="46"/>
    <n v="84"/>
    <n v="0"/>
    <n v="306.19"/>
    <n v="242.35"/>
    <m/>
    <n v="448.02163143730991"/>
    <n v="191.00751406315655"/>
    <n v="0"/>
    <n v="635.57135640000058"/>
    <n v="0"/>
    <n v="740.41750972557122"/>
    <x v="4"/>
  </r>
  <r>
    <s v="PROJETADO"/>
    <x v="2"/>
    <x v="0"/>
    <x v="2"/>
    <x v="8"/>
    <x v="0"/>
    <x v="0"/>
    <x v="0"/>
    <x v="11"/>
    <n v="0"/>
    <n v="0"/>
    <n v="19.311"/>
    <n v="18.152339999999999"/>
    <n v="19.311"/>
    <n v="18.152339999999999"/>
    <n v="4"/>
    <s v="CATIVO"/>
    <n v="0"/>
    <n v="0"/>
    <n v="46"/>
    <n v="84"/>
    <n v="0"/>
    <n v="306.19"/>
    <n v="242.35"/>
    <m/>
    <n v="448.02163143730991"/>
    <n v="191.00751406315655"/>
    <n v="0"/>
    <n v="635.57135640000058"/>
    <n v="0"/>
    <n v="740.4175097255712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19DA87-A861-4877-B52C-507D247B6E97}" name="Efeito Resumo" cacheId="5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04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9">
        <item x="0"/>
        <item x="4"/>
        <item x="7"/>
        <item x="1"/>
        <item x="5"/>
        <item x="2"/>
        <item x="3"/>
        <item x="6"/>
        <item t="default"/>
      </items>
    </pivotField>
    <pivotField axis="axisRow" showAll="0">
      <items count="11">
        <item x="6"/>
        <item x="8"/>
        <item x="7"/>
        <item x="9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03">
    <i>
      <x/>
    </i>
    <i r="1">
      <x/>
    </i>
    <i r="2">
      <x v="2"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5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9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/>
    </i>
    <i r="3">
      <x/>
    </i>
    <i r="4">
      <x v="4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1"/>
    </i>
    <i r="3">
      <x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4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3"/>
    </i>
    <i r="5">
      <x v="2"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20">
    <format dxfId="50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0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0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0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16" type="button" dataOnly="0" labelOnly="1" outline="0" axis="axisRow" fieldPosition="0"/>
    </format>
    <format dxfId="502">
      <pivotArea dataOnly="0" labelOnly="1" fieldPosition="0">
        <references count="1">
          <reference field="16" count="0"/>
        </references>
      </pivotArea>
    </format>
    <format dxfId="501">
      <pivotArea dataOnly="0" labelOnly="1" fieldPosition="0">
        <references count="2">
          <reference field="1" count="0"/>
          <reference field="16" count="0" selected="0"/>
        </references>
      </pivotArea>
    </format>
    <format dxfId="500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499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498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497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496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49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3"/>
          </reference>
          <reference field="16" count="0" selected="0"/>
        </references>
      </pivotArea>
    </format>
    <format dxfId="494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93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492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49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90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489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8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87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486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485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8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48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48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48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48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79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47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77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7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7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7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7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7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47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70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469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6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62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1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0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5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5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5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5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9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3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41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4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30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2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4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42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2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1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1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4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9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8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0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5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0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9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9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397">
      <pivotArea type="all" dataOnly="0" outline="0" fieldPosition="0"/>
    </format>
    <format dxfId="396">
      <pivotArea outline="0" collapsedLevelsAreSubtotals="1" fieldPosition="0"/>
    </format>
    <format dxfId="395">
      <pivotArea field="16" type="button" dataOnly="0" labelOnly="1" outline="0" axis="axisRow" fieldPosition="0"/>
    </format>
    <format dxfId="394">
      <pivotArea dataOnly="0" labelOnly="1" fieldPosition="0">
        <references count="1">
          <reference field="16" count="0"/>
        </references>
      </pivotArea>
    </format>
    <format dxfId="393">
      <pivotArea dataOnly="0" labelOnly="1" fieldPosition="0">
        <references count="2">
          <reference field="1" count="0"/>
          <reference field="16" count="0" selected="0"/>
        </references>
      </pivotArea>
    </format>
    <format dxfId="39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16" count="0" selected="0"/>
        </references>
      </pivotArea>
    </format>
    <format dxfId="391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390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389">
      <pivotArea dataOnly="0" labelOnly="1" fieldPosition="0">
        <references count="3">
          <reference field="1" count="1" selected="0">
            <x v="3"/>
          </reference>
          <reference field="2" count="2">
            <x v="0"/>
            <x v="1"/>
          </reference>
          <reference field="16" count="0" selected="0"/>
        </references>
      </pivotArea>
    </format>
    <format dxfId="388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387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2">
            <x v="0"/>
            <x v="3"/>
          </reference>
          <reference field="16" count="0" selected="0"/>
        </references>
      </pivotArea>
    </format>
    <format dxfId="38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385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384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0"/>
          </reference>
          <reference field="16" count="0" selected="0"/>
        </references>
      </pivotArea>
    </format>
    <format dxfId="38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82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38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380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37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5"/>
            <x v="6"/>
            <x v="7"/>
            <x v="8"/>
            <x v="9"/>
          </reference>
          <reference field="16" count="0" selected="0"/>
        </references>
      </pivotArea>
    </format>
    <format dxfId="378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3">
            <x v="0"/>
            <x v="2"/>
            <x v="4"/>
          </reference>
          <reference field="16" count="0" selected="0"/>
        </references>
      </pivotArea>
    </format>
    <format dxfId="377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37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4"/>
          </reference>
          <reference field="16" count="0" selected="0"/>
        </references>
      </pivotArea>
    </format>
    <format dxfId="37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4"/>
          </reference>
          <reference field="16" count="0" selected="0"/>
        </references>
      </pivotArea>
    </format>
    <format dxfId="37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4"/>
          </reference>
          <reference field="16" count="0" selected="0"/>
        </references>
      </pivotArea>
    </format>
    <format dxfId="373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4"/>
          </reference>
          <reference field="16" count="0" selected="0"/>
        </references>
      </pivotArea>
    </format>
    <format dxfId="37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371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3"/>
          </reference>
          <reference field="16" count="0" selected="0"/>
        </references>
      </pivotArea>
    </format>
    <format dxfId="37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69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6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6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6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6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6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>
            <x v="2"/>
          </reference>
          <reference field="16" count="0" selected="0"/>
        </references>
      </pivotArea>
    </format>
    <format dxfId="36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62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2">
            <x v="0"/>
            <x v="1"/>
          </reference>
          <reference field="16" count="0" selected="0"/>
        </references>
      </pivotArea>
    </format>
    <format dxfId="36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60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5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5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5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56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5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54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5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7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4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44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43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42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1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9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5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3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33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3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3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3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8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6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5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4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3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2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2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20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6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2"/>
          </reference>
          <reference field="16" count="0" selected="0"/>
        </references>
      </pivotArea>
    </format>
    <format dxfId="31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1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1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1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0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9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1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0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9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298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7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29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1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29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62F374-F598-40DA-99E1-4229473899E9}" name="Subsidio Resumo" cacheId="57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186" firstHeaderRow="0" firstDataRow="1" firstDataCol="1"/>
  <pivotFields count="34"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10">
        <item x="5"/>
        <item x="8"/>
        <item x="6"/>
        <item x="7"/>
        <item x="0"/>
        <item x="1"/>
        <item x="2"/>
        <item x="3"/>
        <item x="4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numFmtId="40" showAll="0"/>
    <pivotField numFmtId="40"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1"/>
        <item x="3"/>
        <item x="2"/>
        <item x="0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85">
    <i>
      <x/>
    </i>
    <i r="1">
      <x v="2"/>
    </i>
    <i r="2">
      <x/>
    </i>
    <i r="3">
      <x v="2"/>
    </i>
    <i r="4">
      <x v="1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/>
    </i>
    <i r="2">
      <x/>
    </i>
    <i r="3">
      <x/>
    </i>
    <i r="4">
      <x v="5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1"/>
    </i>
    <i r="2">
      <x/>
    </i>
    <i r="3">
      <x v="1"/>
    </i>
    <i r="4">
      <x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 v="1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1"/>
    </i>
    <i r="2">
      <x/>
    </i>
    <i r="3">
      <x v="1"/>
    </i>
    <i r="4">
      <x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/>
    </i>
    <i r="2">
      <x/>
    </i>
    <i r="3">
      <x/>
    </i>
    <i r="4">
      <x v="4"/>
    </i>
    <i r="5">
      <x v="2"/>
    </i>
    <i r="6">
      <x/>
    </i>
    <i r="7">
      <x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40">
    <format dxfId="289">
      <pivotArea outline="0" collapsedLevelsAreSubtotals="1" fieldPosition="0"/>
    </format>
    <format dxfId="28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87">
      <pivotArea type="all" dataOnly="0" outline="0" fieldPosition="0"/>
    </format>
    <format dxfId="286">
      <pivotArea outline="0" collapsedLevelsAreSubtotals="1" fieldPosition="0"/>
    </format>
    <format dxfId="285">
      <pivotArea field="31" type="button" dataOnly="0" labelOnly="1" outline="0" axis="axisRow" fieldPosition="0"/>
    </format>
    <format dxfId="284">
      <pivotArea dataOnly="0" labelOnly="1" fieldPosition="0">
        <references count="1">
          <reference field="31" count="0"/>
        </references>
      </pivotArea>
    </format>
    <format dxfId="283">
      <pivotArea dataOnly="0" labelOnly="1" fieldPosition="0">
        <references count="2">
          <reference field="1" count="1">
            <x v="2"/>
          </reference>
          <reference field="31" count="1" selected="0">
            <x v="0"/>
          </reference>
        </references>
      </pivotArea>
    </format>
    <format dxfId="282">
      <pivotArea dataOnly="0" labelOnly="1" fieldPosition="0">
        <references count="2">
          <reference field="1" count="1">
            <x v="0"/>
          </reference>
          <reference field="31" count="1" selected="0">
            <x v="1"/>
          </reference>
        </references>
      </pivotArea>
    </format>
    <format dxfId="281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280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79">
      <pivotArea dataOnly="0" labelOnly="1" fieldPosition="0">
        <references count="2">
          <reference field="1" count="1">
            <x v="0"/>
          </reference>
          <reference field="31" count="1" selected="0">
            <x v="4"/>
          </reference>
        </references>
      </pivotArea>
    </format>
    <format dxfId="278">
      <pivotArea dataOnly="0" labelOnly="1" fieldPosition="0">
        <references count="3">
          <reference field="1" count="1" selected="0">
            <x v="2"/>
          </reference>
          <reference field="2" count="0"/>
          <reference field="31" count="1" selected="0">
            <x v="0"/>
          </reference>
        </references>
      </pivotArea>
    </format>
    <format dxfId="277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1"/>
          </reference>
        </references>
      </pivotArea>
    </format>
    <format dxfId="276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2"/>
          </reference>
        </references>
      </pivotArea>
    </format>
    <format dxfId="275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3"/>
          </reference>
        </references>
      </pivotArea>
    </format>
    <format dxfId="274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4"/>
          </reference>
        </references>
      </pivotArea>
    </format>
    <format dxfId="273">
      <pivotArea dataOnly="0" labelOnly="1" fieldPosition="0">
        <references count="4">
          <reference field="1" count="1" selected="0">
            <x v="2"/>
          </reference>
          <reference field="2" count="0" selected="0"/>
          <reference field="3" count="1">
            <x v="2"/>
          </reference>
          <reference field="31" count="1" selected="0">
            <x v="0"/>
          </reference>
        </references>
      </pivotArea>
    </format>
    <format dxfId="272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1"/>
          </reference>
        </references>
      </pivotArea>
    </format>
    <format dxfId="271">
      <pivotArea dataOnly="0" labelOnly="1" fieldPosition="0">
        <references count="4">
          <reference field="1" count="1" selected="0">
            <x v="1"/>
          </reference>
          <reference field="2" count="0" selected="0"/>
          <reference field="3" count="1">
            <x v="1"/>
          </reference>
          <reference field="31" count="1" selected="0">
            <x v="2"/>
          </reference>
        </references>
      </pivotArea>
    </format>
    <format dxfId="270">
      <pivotArea dataOnly="0" labelOnly="1" fieldPosition="0">
        <references count="4">
          <reference field="1" count="1" selected="0">
            <x v="1"/>
          </reference>
          <reference field="2" count="0" selected="0"/>
          <reference field="3" count="1">
            <x v="1"/>
          </reference>
          <reference field="31" count="1" selected="0">
            <x v="3"/>
          </reference>
        </references>
      </pivotArea>
    </format>
    <format dxfId="269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4"/>
          </reference>
        </references>
      </pivotArea>
    </format>
    <format dxfId="268">
      <pivotArea dataOnly="0" labelOnly="1" fieldPosition="0">
        <references count="5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67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266">
      <pivotArea dataOnly="0" labelOnly="1" fieldPosition="0">
        <references count="5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265">
      <pivotArea dataOnly="0" labelOnly="1" fieldPosition="0">
        <references count="5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264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263">
      <pivotArea dataOnly="0" labelOnly="1" fieldPosition="0">
        <references count="6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62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1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0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9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58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57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56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55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254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53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52">
      <pivotArea dataOnly="0" labelOnly="1" fieldPosition="0">
        <references count="7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51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0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9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8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47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46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45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44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43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42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41">
      <pivotArea dataOnly="0" labelOnly="1" fieldPosition="0">
        <references count="8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240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239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238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237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236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35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234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33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32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31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230">
      <pivotArea dataOnly="0" labelOnly="1" fieldPosition="0">
        <references count="9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0"/>
          </reference>
        </references>
      </pivotArea>
    </format>
    <format dxfId="229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28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27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26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225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 selected="0"/>
          <reference field="8" count="0"/>
          <reference field="31" count="1" selected="0">
            <x v="2"/>
          </reference>
        </references>
      </pivotArea>
    </format>
    <format dxfId="224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0" selected="0"/>
          <reference field="8" count="0"/>
          <reference field="31" count="1" selected="0">
            <x v="2"/>
          </reference>
        </references>
      </pivotArea>
    </format>
    <format dxfId="223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0" selected="0"/>
          <reference field="8" count="0"/>
          <reference field="31" count="1" selected="0">
            <x v="3"/>
          </reference>
        </references>
      </pivotArea>
    </format>
    <format dxfId="222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0" selected="0"/>
          <reference field="8" count="0"/>
          <reference field="31" count="1" selected="0">
            <x v="3"/>
          </reference>
        </references>
      </pivotArea>
    </format>
    <format dxfId="221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3"/>
          </reference>
        </references>
      </pivotArea>
    </format>
    <format dxfId="220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0" selected="0"/>
          <reference field="8" count="1">
            <x v="0"/>
          </reference>
          <reference field="31" count="1" selected="0">
            <x v="4"/>
          </reference>
        </references>
      </pivotArea>
    </format>
    <format dxfId="219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18">
      <pivotArea type="all" dataOnly="0" outline="0" fieldPosition="0"/>
    </format>
    <format dxfId="217">
      <pivotArea outline="0" collapsedLevelsAreSubtotals="1" fieldPosition="0"/>
    </format>
    <format dxfId="216">
      <pivotArea field="31" type="button" dataOnly="0" labelOnly="1" outline="0" axis="axisRow" fieldPosition="0"/>
    </format>
    <format dxfId="215">
      <pivotArea dataOnly="0" labelOnly="1" fieldPosition="0">
        <references count="1">
          <reference field="31" count="0"/>
        </references>
      </pivotArea>
    </format>
    <format dxfId="214">
      <pivotArea dataOnly="0" labelOnly="1" fieldPosition="0">
        <references count="2">
          <reference field="1" count="1">
            <x v="2"/>
          </reference>
          <reference field="31" count="1" selected="0">
            <x v="0"/>
          </reference>
        </references>
      </pivotArea>
    </format>
    <format dxfId="213">
      <pivotArea dataOnly="0" labelOnly="1" fieldPosition="0">
        <references count="2">
          <reference field="1" count="1">
            <x v="0"/>
          </reference>
          <reference field="31" count="1" selected="0">
            <x v="1"/>
          </reference>
        </references>
      </pivotArea>
    </format>
    <format dxfId="212">
      <pivotArea dataOnly="0" labelOnly="1" fieldPosition="0">
        <references count="2">
          <reference field="1" count="1">
            <x v="1"/>
          </reference>
          <reference field="31" count="1" selected="0">
            <x v="2"/>
          </reference>
        </references>
      </pivotArea>
    </format>
    <format dxfId="211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10">
      <pivotArea dataOnly="0" labelOnly="1" fieldPosition="0">
        <references count="2">
          <reference field="1" count="1">
            <x v="0"/>
          </reference>
          <reference field="31" count="1" selected="0">
            <x v="4"/>
          </reference>
        </references>
      </pivotArea>
    </format>
    <format dxfId="209">
      <pivotArea dataOnly="0" labelOnly="1" fieldPosition="0">
        <references count="3">
          <reference field="1" count="1" selected="0">
            <x v="2"/>
          </reference>
          <reference field="2" count="0"/>
          <reference field="31" count="1" selected="0">
            <x v="0"/>
          </reference>
        </references>
      </pivotArea>
    </format>
    <format dxfId="208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1"/>
          </reference>
        </references>
      </pivotArea>
    </format>
    <format dxfId="207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2"/>
          </reference>
        </references>
      </pivotArea>
    </format>
    <format dxfId="206">
      <pivotArea dataOnly="0" labelOnly="1" fieldPosition="0">
        <references count="3">
          <reference field="1" count="1" selected="0">
            <x v="1"/>
          </reference>
          <reference field="2" count="0"/>
          <reference field="31" count="1" selected="0">
            <x v="3"/>
          </reference>
        </references>
      </pivotArea>
    </format>
    <format dxfId="205">
      <pivotArea dataOnly="0" labelOnly="1" fieldPosition="0">
        <references count="3">
          <reference field="1" count="1" selected="0">
            <x v="0"/>
          </reference>
          <reference field="2" count="0"/>
          <reference field="31" count="1" selected="0">
            <x v="4"/>
          </reference>
        </references>
      </pivotArea>
    </format>
    <format dxfId="204">
      <pivotArea dataOnly="0" labelOnly="1" fieldPosition="0">
        <references count="4">
          <reference field="1" count="1" selected="0">
            <x v="2"/>
          </reference>
          <reference field="2" count="0" selected="0"/>
          <reference field="3" count="1">
            <x v="2"/>
          </reference>
          <reference field="31" count="1" selected="0">
            <x v="0"/>
          </reference>
        </references>
      </pivotArea>
    </format>
    <format dxfId="203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1"/>
          </reference>
        </references>
      </pivotArea>
    </format>
    <format dxfId="202">
      <pivotArea dataOnly="0" labelOnly="1" fieldPosition="0">
        <references count="4">
          <reference field="1" count="1" selected="0">
            <x v="1"/>
          </reference>
          <reference field="2" count="0" selected="0"/>
          <reference field="3" count="1">
            <x v="1"/>
          </reference>
          <reference field="31" count="1" selected="0">
            <x v="2"/>
          </reference>
        </references>
      </pivotArea>
    </format>
    <format dxfId="201">
      <pivotArea dataOnly="0" labelOnly="1" fieldPosition="0">
        <references count="4">
          <reference field="1" count="1" selected="0">
            <x v="1"/>
          </reference>
          <reference field="2" count="0" selected="0"/>
          <reference field="3" count="1">
            <x v="1"/>
          </reference>
          <reference field="31" count="1" selected="0">
            <x v="3"/>
          </reference>
        </references>
      </pivotArea>
    </format>
    <format dxfId="200">
      <pivotArea dataOnly="0" labelOnly="1" fieldPosition="0">
        <references count="4">
          <reference field="1" count="1" selected="0">
            <x v="0"/>
          </reference>
          <reference field="2" count="0" selected="0"/>
          <reference field="3" count="1">
            <x v="0"/>
          </reference>
          <reference field="31" count="1" selected="0">
            <x v="4"/>
          </reference>
        </references>
      </pivotArea>
    </format>
    <format dxfId="199">
      <pivotArea dataOnly="0" labelOnly="1" fieldPosition="0">
        <references count="5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198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4">
            <x v="5"/>
            <x v="6"/>
            <x v="7"/>
            <x v="8"/>
          </reference>
          <reference field="31" count="1" selected="0">
            <x v="1"/>
          </reference>
        </references>
      </pivotArea>
    </format>
    <format dxfId="197">
      <pivotArea dataOnly="0" labelOnly="1" fieldPosition="0">
        <references count="5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2"/>
          </reference>
        </references>
      </pivotArea>
    </format>
    <format dxfId="196">
      <pivotArea dataOnly="0" labelOnly="1" fieldPosition="0">
        <references count="5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3">
            <x v="0"/>
            <x v="2"/>
            <x v="3"/>
          </reference>
          <reference field="31" count="1" selected="0">
            <x v="3"/>
          </reference>
        </references>
      </pivotArea>
    </format>
    <format dxfId="195">
      <pivotArea dataOnly="0" labelOnly="1" fieldPosition="0">
        <references count="5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>
            <x v="4"/>
          </reference>
          <reference field="31" count="1" selected="0">
            <x v="4"/>
          </reference>
        </references>
      </pivotArea>
    </format>
    <format dxfId="194">
      <pivotArea dataOnly="0" labelOnly="1" fieldPosition="0">
        <references count="6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93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1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89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88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87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86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>
            <x v="0"/>
          </reference>
          <reference field="31" count="1" selected="0">
            <x v="3"/>
          </reference>
        </references>
      </pivotArea>
    </format>
    <format dxfId="185">
      <pivotArea dataOnly="0" labelOnly="1" fieldPosition="0">
        <references count="6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84">
      <pivotArea dataOnly="0" labelOnly="1" fieldPosition="0">
        <references count="6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83">
      <pivotArea dataOnly="0" labelOnly="1" fieldPosition="0">
        <references count="7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82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1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0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9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78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77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76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75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74">
      <pivotArea dataOnly="0" labelOnly="1" fieldPosition="0">
        <references count="7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3">
      <pivotArea dataOnly="0" labelOnly="1" fieldPosition="0">
        <references count="7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72">
      <pivotArea dataOnly="0" labelOnly="1" fieldPosition="0">
        <references count="8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0"/>
          </reference>
        </references>
      </pivotArea>
    </format>
    <format dxfId="171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169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168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1"/>
          </reference>
        </references>
      </pivotArea>
    </format>
    <format dxfId="167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66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0"/>
          <reference field="31" count="1" selected="0">
            <x v="2"/>
          </reference>
        </references>
      </pivotArea>
    </format>
    <format dxfId="165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4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3">
      <pivotArea dataOnly="0" labelOnly="1" fieldPosition="0">
        <references count="8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2">
      <pivotArea dataOnly="0" labelOnly="1" fieldPosition="0">
        <references count="8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4"/>
          </reference>
        </references>
      </pivotArea>
    </format>
    <format dxfId="161">
      <pivotArea dataOnly="0" labelOnly="1" fieldPosition="0">
        <references count="9">
          <reference field="1" count="1" selected="0">
            <x v="2"/>
          </reference>
          <reference field="2" count="0" selected="0"/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0"/>
          </reference>
        </references>
      </pivotArea>
    </format>
    <format dxfId="160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8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1"/>
          </reference>
        </references>
      </pivotArea>
    </format>
    <format dxfId="156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0" selected="0"/>
          <reference field="8" count="0"/>
          <reference field="31" count="1" selected="0">
            <x v="2"/>
          </reference>
        </references>
      </pivotArea>
    </format>
    <format dxfId="155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1"/>
          </reference>
          <reference field="6" count="0" selected="0"/>
          <reference field="7" count="0" selected="0"/>
          <reference field="8" count="0"/>
          <reference field="31" count="1" selected="0">
            <x v="2"/>
          </reference>
        </references>
      </pivotArea>
    </format>
    <format dxfId="154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0" selected="0"/>
          <reference field="8" count="0"/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2"/>
          </reference>
          <reference field="5" count="1" selected="0">
            <x v="0"/>
          </reference>
          <reference field="6" count="0" selected="0"/>
          <reference field="7" count="0" selected="0"/>
          <reference field="8" count="0"/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1"/>
          </reference>
          <reference field="2" count="0" selected="0"/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 selected="0"/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0"/>
          </reference>
          <reference field="2" count="0" selected="0"/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0" selected="0"/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AB9283C-B924-428E-9139-D8DF32F7EE62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EF5F8C8-33F9-40BA-9701-1F89091EECD6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675D0F3D-214E-4699-BB28-B6F43822D375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C84398-D814-4839-A8F1-2592AFEEA097}" name="Efeito" displayName="Efeito" ref="A1:AG391" totalsRowShown="0" headerRowDxfId="578" dataDxfId="577">
  <autoFilter ref="A1:AG391" xr:uid="{23C84398-D814-4839-A8F1-2592AFEEA097}"/>
  <tableColumns count="33">
    <tableColumn id="1" xr3:uid="{CCD292AA-6BE7-4885-BEAC-422E61828C0B}" name="TipoMercado" dataDxfId="576"/>
    <tableColumn id="2" xr3:uid="{ECE4ADE5-DB1C-4F84-9861-1E8FD2BA33E6}" name="Subgrupo" dataDxfId="575"/>
    <tableColumn id="3" xr3:uid="{FD1F7172-588B-4882-97B8-51144775A333}" name="Modalidade" dataDxfId="574"/>
    <tableColumn id="4" xr3:uid="{D96F0BC2-0AEC-4746-9A23-848BD557A623}" name="Classe" dataDxfId="573"/>
    <tableColumn id="5" xr3:uid="{DE6E71E4-44C9-4E7E-9384-69F98FCEBFF8}" name="Subclasse" dataDxfId="572"/>
    <tableColumn id="6" xr3:uid="{ED7DC16C-5520-4226-BC41-44FC51FDBE44}" name="Detalhe" dataDxfId="571"/>
    <tableColumn id="7" xr3:uid="{E6C62580-7346-4003-BE3F-E23A5EFA526A}" name="Agente" dataDxfId="570"/>
    <tableColumn id="8" xr3:uid="{67C38E6A-302C-4ED7-9AB4-4E054C873F43}" name="Posto" dataDxfId="569"/>
    <tableColumn id="9" xr3:uid="{7BB6F973-988A-4E19-A83A-DAB092C28D26}" name="AnoMes" dataDxfId="568"/>
    <tableColumn id="10" xr3:uid="{9EB1137D-485C-4854-A611-670681E5729B}" name="D" dataDxfId="567"/>
    <tableColumn id="11" xr3:uid="{9A9EFE4D-2C62-4002-8C16-EDA4CC85719D}" name="Daj" dataDxfId="566"/>
    <tableColumn id="12" xr3:uid="{DB45C78D-8697-4363-BCDF-2EEB21B3872C}" name="TUSD_E" dataDxfId="565"/>
    <tableColumn id="13" xr3:uid="{AF86B2DD-C471-430E-B352-CAF976B181E8}" name="TUSD_Eaj" dataDxfId="564"/>
    <tableColumn id="14" xr3:uid="{761DB398-7412-4379-88AC-C05B12237D52}" name="TE_E" dataDxfId="563"/>
    <tableColumn id="15" xr3:uid="{35BD4C8F-E642-48EE-9AAA-3DBD3CE5CBAA}" name="TE_Eaj" dataDxfId="562"/>
    <tableColumn id="16" xr3:uid="{AD8642B6-76C0-4314-BFCD-CBD410EEBF9E}" name="UC" dataDxfId="561"/>
    <tableColumn id="17" xr3:uid="{84C99DA3-2288-40E4-A10F-0D918F430A77}" name="OPÇÃO" dataDxfId="560"/>
    <tableColumn id="18" xr3:uid="{AF93EF3B-A5C9-4B05-94F4-710714DB996C}" name="CóD. AUX." dataDxfId="559"/>
    <tableColumn id="19" xr3:uid="{89995CAB-8C78-428E-9C5C-854163D2ADAE}" name="CóD. AUX. TUSD R$/kW" dataDxfId="558"/>
    <tableColumn id="20" xr3:uid="{27D2C345-8B23-4AC9-9E1E-AFF126DEBC21}" name="CóD. AUX. TUSD R$/MWh" dataDxfId="557"/>
    <tableColumn id="21" xr3:uid="{68D239BF-03E8-43DC-95EF-B3FCFA40F1DC}" name="CóD. AUX. TE R$/MWh" dataDxfId="556"/>
    <tableColumn id="22" xr3:uid="{7FD2BC74-9191-4AE8-8EB5-6217899CC7BA}" name="TUSD (R$/kW)" dataDxfId="555"/>
    <tableColumn id="23" xr3:uid="{CEC20CDC-0D6D-46D9-A9A9-31AE6DA6F368}" name="TUSD (R$/MWh)" dataDxfId="554"/>
    <tableColumn id="24" xr3:uid="{C5A005A7-11F0-46C0-9640-53D4246C6E35}" name="TE (R$/MWh)" dataDxfId="553"/>
    <tableColumn id="25" xr3:uid="{C627EAB7-ED85-42CF-A53E-909BADA47F69}" name="TUSD (R$/kW) NOVA" dataDxfId="552"/>
    <tableColumn id="26" xr3:uid="{A9880FA6-9C58-41EB-A358-579ACFCED277}" name="TUSD (R$/MWh) NOVA" dataDxfId="551">
      <calculatedColumnFormula>('TUSD BE'!$AM$50+'TUSD BF'!$AM$50+'TUSD CVA'!$AM$50)*1</calculatedColumnFormula>
    </tableColumn>
    <tableColumn id="27" xr3:uid="{DE7C2A0C-E961-4927-BBEB-0C9F3591E5EB}" name="TE (R$/MWh) NOVA" dataDxfId="550">
      <calculatedColumnFormula>('TE BE'!$AB$40+'TE BF'!$AB$40+'TE CVA'!$AB$40)*1</calculatedColumnFormula>
    </tableColumn>
    <tableColumn id="28" xr3:uid="{B53C8298-06F3-43DB-8127-09D2D917DADE}" name="RA0 ou RV - TUSD (kW)" dataDxfId="549"/>
    <tableColumn id="29" xr3:uid="{F487F2FE-7C8C-49F6-9486-4567EF5ACD28}" name="RA0 ou RV - TUSD (MWh)" dataDxfId="548"/>
    <tableColumn id="30" xr3:uid="{FB5EBF4A-0EA8-4202-A034-100E8BDF675A}" name="RA0 ou RV - TE (MWh)" dataDxfId="547"/>
    <tableColumn id="31" xr3:uid="{CDA527B5-4E0A-4AA1-8170-149E429D4AE6}" name="RA1 ou RRD - TUSD (kW)" dataDxfId="546"/>
    <tableColumn id="32" xr3:uid="{26149968-A177-4EDC-89D4-F0AB3E0EE137}" name="RA1 ou RRD - TUSD (MWh)" dataDxfId="545"/>
    <tableColumn id="33" xr3:uid="{E9E11754-D2BE-43AE-8D4A-3C1B4AE4E0FC}" name="RA1 ou RRD - TE (MWh)" dataDxfId="54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37935A-1CA2-4CAE-9117-49F2DCFBBB6A}" name="Subsidio" displayName="Subsidio" ref="A1:AF164" totalsRowShown="0" headerRowDxfId="543" dataDxfId="542">
  <autoFilter ref="A1:AF164" xr:uid="{CC37935A-1CA2-4CAE-9117-49F2DCFBBB6A}"/>
  <tableColumns count="32">
    <tableColumn id="1" xr3:uid="{F07D2D48-6A76-4437-AC4B-745A7A09EAA6}" name="TipoMercado" dataDxfId="541"/>
    <tableColumn id="2" xr3:uid="{B31641DE-A81E-4E62-986D-EDB3562448D5}" name="Subgrupo" dataDxfId="540"/>
    <tableColumn id="3" xr3:uid="{278B60A3-5D89-43EA-B716-0A758E646CAC}" name="Modalidade" dataDxfId="539"/>
    <tableColumn id="4" xr3:uid="{479A38DF-5BFF-4814-8921-A28CDB67C0D3}" name="Classe" dataDxfId="538"/>
    <tableColumn id="5" xr3:uid="{12A670C8-E4BD-4B52-9E15-41358AFBF97E}" name="Subclasse" dataDxfId="537"/>
    <tableColumn id="6" xr3:uid="{D919B0F6-ECC4-4D2A-A71C-DD87F5693AB2}" name="Detalhe" dataDxfId="536"/>
    <tableColumn id="7" xr3:uid="{8BF176DE-BB11-4CA2-BE94-4813393D3F16}" name="Agente" dataDxfId="535"/>
    <tableColumn id="8" xr3:uid="{4E27E247-1250-421B-9BDA-DE404C32E528}" name="Posto" dataDxfId="534"/>
    <tableColumn id="9" xr3:uid="{F88E0CC1-FDA1-4BA0-8FFD-DA6F7CF0691F}" name="AnoMes" dataDxfId="533"/>
    <tableColumn id="10" xr3:uid="{D57E9A84-C2CA-4D75-8014-9EED6D6F2782}" name="D" dataDxfId="532"/>
    <tableColumn id="11" xr3:uid="{8E054D25-7A4B-47A4-A9B5-FEC4C9C21424}" name="Daj" dataDxfId="531"/>
    <tableColumn id="12" xr3:uid="{84CB43C6-02A6-493E-950B-7310E0419592}" name="TUSD_E" dataDxfId="530"/>
    <tableColumn id="13" xr3:uid="{B59C30B8-43CE-4003-964F-EB65A5A53F34}" name="TUSD_Eaj" dataDxfId="529"/>
    <tableColumn id="14" xr3:uid="{DDD90464-4AE2-4720-8B4E-1E6A09DBA888}" name="TE_E" dataDxfId="528"/>
    <tableColumn id="15" xr3:uid="{4F86F1A2-1BA8-4FD1-855E-62F7B8CB0E29}" name="TE_Eaj" dataDxfId="527"/>
    <tableColumn id="16" xr3:uid="{1C8A23C8-CE2A-4B26-88BD-1CC4095DB649}" name="UC" dataDxfId="526"/>
    <tableColumn id="17" xr3:uid="{93E4DFD9-C6D7-4D08-B144-96D767B1714F}" name="OPÇÃO" dataDxfId="525"/>
    <tableColumn id="18" xr3:uid="{A5FB045F-BBA0-4793-BEF3-2527F0CA86DB}" name="CóD. AUX." dataDxfId="524"/>
    <tableColumn id="19" xr3:uid="{F46CF8CE-099B-4746-82A4-1C9E3FF733A4}" name="CóD. AUX. TUSD R$/kW" dataDxfId="523"/>
    <tableColumn id="20" xr3:uid="{92818931-BDD8-4442-BEED-9443017513E2}" name="CóD. AUX. TUSD R$/MWh" dataDxfId="522"/>
    <tableColumn id="21" xr3:uid="{E88E70AB-FFE9-4561-A359-B15D5B426110}" name="CóD. AUX. TE R$/MWh" dataDxfId="521"/>
    <tableColumn id="22" xr3:uid="{7478E4B3-E328-42D2-B8C7-C1D316FFDBA8}" name="TUSD (R$/kW)" dataDxfId="520"/>
    <tableColumn id="23" xr3:uid="{E3631EB6-04F6-4174-A63A-C85AFE49C8F0}" name="TUSD (R$/MWh)" dataDxfId="519"/>
    <tableColumn id="24" xr3:uid="{09CDC672-C3FC-4B48-9B4E-4343128A2798}" name="TE (R$/MWh)" dataDxfId="518"/>
    <tableColumn id="25" xr3:uid="{56881704-9A83-4758-AC41-92F2B30B9F9C}" name="TUSD (R$/kW) NOVA" dataDxfId="517"/>
    <tableColumn id="26" xr3:uid="{C2C2AEB3-F9EA-4ECC-8B34-FC1EE0403BBA}" name="TUSD (R$/MWh) NOVA" dataDxfId="516">
      <calculatedColumnFormula>('TUSD BE'!$AM$48+'TUSD BF'!$AM$48+'TUSD CVA'!$AM$48)*1</calculatedColumnFormula>
    </tableColumn>
    <tableColumn id="27" xr3:uid="{AE0DCF36-26E1-4655-B613-BAC328C6B8FA}" name="TE (R$/MWh) NOVA" dataDxfId="515">
      <calculatedColumnFormula>('TE BE'!$AB$38+'TE BF'!$AB$38+'TE CVA'!$AB$38)*1</calculatedColumnFormula>
    </tableColumn>
    <tableColumn id="28" xr3:uid="{F5A56FD2-317D-46A8-BF6D-AE651F513D32}" name="SUBSIDIO kW - TV" dataDxfId="514">
      <calculatedColumnFormula>(J2-K2)*V2</calculatedColumnFormula>
    </tableColumn>
    <tableColumn id="29" xr3:uid="{175917E2-2AA2-40D1-A692-CC7A002E93EC}" name="SUBSIDIO MWh - TV" dataDxfId="513">
      <calculatedColumnFormula>(L2-M2)*W2+(N2-O2)*X2</calculatedColumnFormula>
    </tableColumn>
    <tableColumn id="30" xr3:uid="{CFDA245B-4663-4C0B-B2C4-6560CB305BE9}" name="SUBSIDIO kW - TN" dataDxfId="512">
      <calculatedColumnFormula>(J2-K2)*Y2</calculatedColumnFormula>
    </tableColumn>
    <tableColumn id="31" xr3:uid="{EC0110EC-E833-4E46-AF60-4392465101DB}" name="SUBSIDIO MWh - TN" dataDxfId="511">
      <calculatedColumnFormula>(L2-M2)*Z2+(N2-O2)*AA2</calculatedColumnFormula>
    </tableColumn>
    <tableColumn id="32" xr3:uid="{27B1ED1D-DFA1-4C50-B22B-54571AB1F3B6}" name="TIPO" dataDxfId="5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30B06F-A58A-4FB2-9610-D2BAC5AA08D0}" name="TabelaFin" displayName="TabelaFin" ref="B3:AT49" tableType="queryTable" totalsRowShown="0" headerRowDxfId="101" dataDxfId="100" headerRowBorderDxfId="148" tableBorderDxfId="149" totalsRowBorderDxfId="147">
  <autoFilter ref="B3:AT49" xr:uid="{E930B06F-A58A-4FB2-9610-D2BAC5AA08D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BA60579F-E2F9-4BEF-9C0F-B9265C0B6F08}" uniqueName="46" name="SUBGRUPO" queryTableFieldId="1" dataDxfId="146"/>
    <tableColumn id="47" xr3:uid="{859CA3D8-25C3-477D-9642-CB7805118605}" uniqueName="47" name="MODALIDADE" queryTableFieldId="2" dataDxfId="145"/>
    <tableColumn id="48" xr3:uid="{36BEA752-3255-4D8A-9EB1-FCBBA0FEABBD}" uniqueName="48" name="CLASSE" queryTableFieldId="3" dataDxfId="144"/>
    <tableColumn id="49" xr3:uid="{28127A5E-DA56-4C3A-AFF2-1E714B57132D}" uniqueName="49" name="SUBCLASSE" queryTableFieldId="4" dataDxfId="143"/>
    <tableColumn id="50" xr3:uid="{FF6BD375-75FE-4A66-8043-5B24F4319C73}" uniqueName="50" name="DETALHE" queryTableFieldId="5" dataDxfId="142"/>
    <tableColumn id="51" xr3:uid="{DB497B73-F622-4964-8349-25A50324BC83}" uniqueName="51" name="POSTO" queryTableFieldId="6" dataDxfId="141"/>
    <tableColumn id="52" xr3:uid="{0D914D15-9F4D-412F-88D5-CEC0C1236AE3}" uniqueName="52" name="UNIDADE" queryTableFieldId="7" dataDxfId="140"/>
    <tableColumn id="53" xr3:uid="{1F9A618D-A2BF-4449-83B9-D9E9FDD84E2E}" uniqueName="53" name="ACESSANTE" queryTableFieldId="8" dataDxfId="139"/>
    <tableColumn id="54" xr3:uid="{102728A8-1A0D-4C9B-AEA1-B039377A88EB}" uniqueName="54" name="Total TUSD" queryTableFieldId="9" dataDxfId="138"/>
    <tableColumn id="55" xr3:uid="{EDF8D32F-2262-4401-B76F-9DE5AA4A45EF}" uniqueName="55" name="Total TE" queryTableFieldId="10" dataDxfId="137"/>
    <tableColumn id="56" xr3:uid="{E745E8E1-3DF9-479D-8169-2B9D701CC048}" uniqueName="56" name="TUSD_CDE_COVID" queryTableFieldId="11" dataDxfId="136"/>
    <tableColumn id="57" xr3:uid="{540EDD9E-2672-4A3A-AB6F-F0CBB73CA83C}" uniqueName="57" name="TUSD_TFSEE" queryTableFieldId="12" dataDxfId="135"/>
    <tableColumn id="58" xr3:uid="{6D1C3F8A-AFF1-4FE6-AA8E-C9D4C9465521}" uniqueName="58" name="TUSD_PeD" queryTableFieldId="13" dataDxfId="134"/>
    <tableColumn id="59" xr3:uid="{5800CE1E-6183-4F33-85CD-90BF15C4491A}" uniqueName="59" name="TUSD_ONS" queryTableFieldId="14" dataDxfId="133"/>
    <tableColumn id="60" xr3:uid="{8C697F16-9A27-4B16-B782-682FCDC3BB06}" uniqueName="60" name="TUSD_CCC" queryTableFieldId="15" dataDxfId="132"/>
    <tableColumn id="61" xr3:uid="{156417DD-C825-4501-BC26-6CE0377177F1}" uniqueName="61" name="TUSD_CDE" queryTableFieldId="16" dataDxfId="131"/>
    <tableColumn id="62" xr3:uid="{B8A1D316-86A6-461E-AFC2-3ED8CC6DB350}" uniqueName="62" name="TUSD_PROINFA" queryTableFieldId="17" dataDxfId="130"/>
    <tableColumn id="63" xr3:uid="{EB08EF72-0EA8-46A9-BF8A-1078192DC475}" uniqueName="63" name="Liminar1" queryTableFieldId="18" dataDxfId="129"/>
    <tableColumn id="64" xr3:uid="{0D2524B1-7318-491B-B0B0-48F3B6994401}" uniqueName="64" name="TUSD_RB" queryTableFieldId="19" dataDxfId="128"/>
    <tableColumn id="65" xr3:uid="{8B8D9749-3F19-405D-A2C2-510CBDA01471}" uniqueName="65" name="TUSD_FR" queryTableFieldId="20" dataDxfId="127"/>
    <tableColumn id="66" xr3:uid="{77023665-98FE-4CC8-AEAF-A59EB81353D7}" uniqueName="66" name="TUSD_CCT" queryTableFieldId="21" dataDxfId="126"/>
    <tableColumn id="67" xr3:uid="{BEE5A536-A2D7-4C52-BE4B-9DDCDEC67F38}" uniqueName="67" name="TUSD_CCD" queryTableFieldId="22" dataDxfId="125"/>
    <tableColumn id="68" xr3:uid="{25B2CA9B-F48C-4AD0-8FD1-7BA45AD554B0}" uniqueName="68" name="TUSD_CUSD" queryTableFieldId="23" dataDxfId="124"/>
    <tableColumn id="69" xr3:uid="{C945CE9C-4050-48A7-8EE3-F955D28DA2E6}" uniqueName="69" name="TUSDG_T" queryTableFieldId="24" dataDxfId="123"/>
    <tableColumn id="70" xr3:uid="{711BD612-FA04-4880-87DF-8E01AE8DD959}" uniqueName="70" name="TUSDG_ONS" queryTableFieldId="25" dataDxfId="122"/>
    <tableColumn id="71" xr3:uid="{30C2BA69-E5B2-428A-B3F3-7570FC634933}" uniqueName="71" name="TUSD_FioB" queryTableFieldId="26" dataDxfId="121"/>
    <tableColumn id="72" xr3:uid="{98A855E4-DB17-4E79-9491-0A173DD8D269}" uniqueName="72" name="TUSD Subsidio" queryTableFieldId="27" dataDxfId="120"/>
    <tableColumn id="73" xr3:uid="{8488F653-6CDD-41B0-9757-166C2643055B}" uniqueName="73" name="TUSD BENEFICIO_L14299" queryTableFieldId="28" dataDxfId="119"/>
    <tableColumn id="74" xr3:uid="{E8A73BDE-A7E7-477B-B1BB-177A1C7E3711}" uniqueName="74" name="TUSD Outros" queryTableFieldId="29" dataDxfId="118"/>
    <tableColumn id="75" xr3:uid="{DFDBDA3A-F682-47F9-A011-2F5B6E9E29B2}" uniqueName="75" name="TUSD_PT" queryTableFieldId="30" dataDxfId="117"/>
    <tableColumn id="76" xr3:uid="{73045680-E4C7-43F8-9DBE-ABE6F2DEA910}" uniqueName="76" name="TUSD_Per_RB_D" queryTableFieldId="31" dataDxfId="116"/>
    <tableColumn id="77" xr3:uid="{A6C07269-497D-4C1D-A024-9F47EC9082CE}" uniqueName="77" name="TUSD_PNT" queryTableFieldId="32" dataDxfId="115"/>
    <tableColumn id="78" xr3:uid="{3C1B90B6-43D6-452E-A4A2-F74F01D7033E}" uniqueName="78" name="TUSD_RI" queryTableFieldId="33" dataDxfId="114"/>
    <tableColumn id="79" xr3:uid="{30CC460B-5CF6-4945-8FC3-C62B8C9F7FB0}" uniqueName="79" name="TE_CDE_COVID" queryTableFieldId="34" dataDxfId="113"/>
    <tableColumn id="80" xr3:uid="{B555D620-0FDB-47A2-979D-FDC7EF4FD84D}" uniqueName="80" name="TE_CDE_ELET" queryTableFieldId="35" dataDxfId="112"/>
    <tableColumn id="81" xr3:uid="{E70B3BAA-1B87-4DDA-ADC4-47786B82DEE6}" uniqueName="81" name="TE_PeD" queryTableFieldId="36" dataDxfId="111"/>
    <tableColumn id="82" xr3:uid="{3BCF883D-D4CE-4243-BDDF-60087BA6927D}" uniqueName="82" name="TE_ESSERR" queryTableFieldId="37" dataDxfId="110"/>
    <tableColumn id="83" xr3:uid="{66BB6AAF-1169-45BC-A42A-C50B7174C641}" uniqueName="83" name="TE_CFURH" queryTableFieldId="38" dataDxfId="109"/>
    <tableColumn id="84" xr3:uid="{E7C3D41F-E25E-4AB3-9841-652A2FDA41EB}" uniqueName="84" name="TE_ENERGIA" queryTableFieldId="39" dataDxfId="108"/>
    <tableColumn id="85" xr3:uid="{A35FA2AE-AF53-4035-BE8A-24D57D5CBC56}" uniqueName="85" name="TE_TRANSPORTE_ITAIPU" queryTableFieldId="40" dataDxfId="107"/>
    <tableColumn id="86" xr3:uid="{0C05BB8E-8B7C-4D11-A6FA-857F3418C731}" uniqueName="86" name="TE_TUST_ITAIPU" queryTableFieldId="41" dataDxfId="106"/>
    <tableColumn id="87" xr3:uid="{5C56B11A-7829-4EEE-AFA8-BC50A9AA115D}" uniqueName="87" name="TE_TUST_CI" queryTableFieldId="42" dataDxfId="105"/>
    <tableColumn id="88" xr3:uid="{AB09F7B0-61C6-48A6-AD4A-884A9AB97A5C}" uniqueName="88" name="TE Subsidio" queryTableFieldId="43" dataDxfId="104"/>
    <tableColumn id="89" xr3:uid="{65E050F7-AFE2-4649-ABC9-82AA21B1BE32}" uniqueName="89" name="TE BENEFICIO_L14299" queryTableFieldId="44" dataDxfId="103"/>
    <tableColumn id="90" xr3:uid="{631DF4D1-63A3-4187-AD09-FF9BB201C99F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6C7AFC-73C2-49B5-95E0-108E016FCC5A}" name="TabelaEc" displayName="TabelaEc" ref="B3:AT49" tableType="queryTable" totalsRowShown="0" headerRowDxfId="51" dataDxfId="50" headerRowBorderDxfId="98" tableBorderDxfId="99" totalsRowBorderDxfId="97">
  <autoFilter ref="B3:AT49" xr:uid="{706C7AFC-73C2-49B5-95E0-108E016FCC5A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E04B0160-BE1A-49E1-9CD5-E5A3F1B5F1A0}" uniqueName="46" name="SUBGRUPO" queryTableFieldId="1" dataDxfId="96"/>
    <tableColumn id="47" xr3:uid="{6B7E41E1-CA56-4609-BFFC-68DE0DB37EC7}" uniqueName="47" name="MODALIDADE" queryTableFieldId="2" dataDxfId="95"/>
    <tableColumn id="48" xr3:uid="{0B194FBB-AD66-4BC1-803A-79BEFE647CDF}" uniqueName="48" name="CLASSE" queryTableFieldId="3" dataDxfId="94"/>
    <tableColumn id="49" xr3:uid="{E89B9610-F0CA-414C-B268-035A3B0AC87D}" uniqueName="49" name="SUBCLASSE" queryTableFieldId="4" dataDxfId="93"/>
    <tableColumn id="50" xr3:uid="{9FFBF1B7-2D5F-4DC3-BB39-3DFD1EA6178E}" uniqueName="50" name="DETALHE" queryTableFieldId="5" dataDxfId="92"/>
    <tableColumn id="51" xr3:uid="{0785006C-0D73-4BF1-997B-B72035D168E1}" uniqueName="51" name="POSTO" queryTableFieldId="6" dataDxfId="91"/>
    <tableColumn id="52" xr3:uid="{0E54C789-BB62-43FB-B18A-6727C9511556}" uniqueName="52" name="UNIDADE" queryTableFieldId="7" dataDxfId="90"/>
    <tableColumn id="53" xr3:uid="{E70061B8-D0B8-4160-9AE7-416970CAAE60}" uniqueName="53" name="ACESSANTE" queryTableFieldId="8" dataDxfId="89"/>
    <tableColumn id="54" xr3:uid="{A52B631A-FDD7-4896-96ED-D3552392EF33}" uniqueName="54" name="Total TUSD" queryTableFieldId="9" dataDxfId="88"/>
    <tableColumn id="55" xr3:uid="{EE8A296A-30D7-4AD5-9562-C3F7A2F892A3}" uniqueName="55" name="Total TE" queryTableFieldId="10" dataDxfId="87"/>
    <tableColumn id="56" xr3:uid="{0C0D5095-D002-4B21-8883-A8EA30E0CB1A}" uniqueName="56" name="TUSD_CDE_COVID" queryTableFieldId="11" dataDxfId="86"/>
    <tableColumn id="57" xr3:uid="{6F22A3B9-6E92-420C-B940-1D5A8CF5ECC6}" uniqueName="57" name="TUSD_TFSEE" queryTableFieldId="12" dataDxfId="85"/>
    <tableColumn id="58" xr3:uid="{A5BED290-F288-49F8-8508-83293EA40146}" uniqueName="58" name="TUSD_PeD" queryTableFieldId="13" dataDxfId="84"/>
    <tableColumn id="59" xr3:uid="{CE57F5BF-9F15-42A2-963B-D3ABB1E62AF7}" uniqueName="59" name="TUSD_ONS" queryTableFieldId="14" dataDxfId="83"/>
    <tableColumn id="60" xr3:uid="{C9EFC4A4-B5FB-4235-B840-2C5FCDF4F0CE}" uniqueName="60" name="TUSD_CCC" queryTableFieldId="15" dataDxfId="82"/>
    <tableColumn id="61" xr3:uid="{A1F1E451-C223-4185-8667-19CC82D01A0D}" uniqueName="61" name="TUSD_CDE" queryTableFieldId="16" dataDxfId="81"/>
    <tableColumn id="62" xr3:uid="{B3E64FDC-7A97-49EF-AF53-DDBAB6377196}" uniqueName="62" name="TUSD_PROINFA" queryTableFieldId="17" dataDxfId="80"/>
    <tableColumn id="63" xr3:uid="{0B22407C-D61B-4050-A105-53CDA429B9AF}" uniqueName="63" name="Liminar1" queryTableFieldId="18" dataDxfId="79"/>
    <tableColumn id="64" xr3:uid="{4A977BEA-A1C0-4588-A3CC-C65193389670}" uniqueName="64" name="TUSD_RB" queryTableFieldId="19" dataDxfId="78"/>
    <tableColumn id="65" xr3:uid="{B38D8CB6-759E-4A97-B8B4-FBEAF382A8AD}" uniqueName="65" name="TUSD_FR" queryTableFieldId="20" dataDxfId="77"/>
    <tableColumn id="66" xr3:uid="{BD81C239-8162-4D96-BB7D-E84DF08C63DB}" uniqueName="66" name="TUSD_CCT" queryTableFieldId="21" dataDxfId="76"/>
    <tableColumn id="67" xr3:uid="{2899F15B-1634-44B1-8977-288B10C1C567}" uniqueName="67" name="TUSD_CCD" queryTableFieldId="22" dataDxfId="75"/>
    <tableColumn id="68" xr3:uid="{239910BA-8F4A-4158-928F-0DFAAA1DB092}" uniqueName="68" name="TUSD_CUSD" queryTableFieldId="23" dataDxfId="74"/>
    <tableColumn id="69" xr3:uid="{C617D222-565D-409F-9451-6867C8EC9E66}" uniqueName="69" name="TUSDG_T" queryTableFieldId="24" dataDxfId="73"/>
    <tableColumn id="70" xr3:uid="{B7D475D5-0646-4D91-A6F1-6F9C391C9B78}" uniqueName="70" name="TUSDG_ONS" queryTableFieldId="25" dataDxfId="72"/>
    <tableColumn id="71" xr3:uid="{8980D434-B34A-4FD2-9EB3-8C0F07CB7CC4}" uniqueName="71" name="TUSD_FioB" queryTableFieldId="26" dataDxfId="71"/>
    <tableColumn id="72" xr3:uid="{2169CCF7-7BB3-4ABA-BC5A-5DD5A9891296}" uniqueName="72" name="TUSD Subsidio" queryTableFieldId="27" dataDxfId="70"/>
    <tableColumn id="73" xr3:uid="{4629196E-ED82-49FD-A864-8FBCF9C1415F}" uniqueName="73" name="TUSD BENEFICIO_L14299" queryTableFieldId="28" dataDxfId="69"/>
    <tableColumn id="74" xr3:uid="{1973233B-9CDB-4DAA-B1F2-A66915C8EF00}" uniqueName="74" name="TUSD Outros" queryTableFieldId="29" dataDxfId="68"/>
    <tableColumn id="75" xr3:uid="{9F17327E-A09D-4FAB-9938-494AC17BC7AF}" uniqueName="75" name="TUSD_PT" queryTableFieldId="30" dataDxfId="67"/>
    <tableColumn id="76" xr3:uid="{91F3E2D7-A37D-4221-8DF8-20623889425E}" uniqueName="76" name="TUSD_Per_RB_D" queryTableFieldId="31" dataDxfId="66"/>
    <tableColumn id="77" xr3:uid="{C612E4EF-6E08-446A-89F0-914429486200}" uniqueName="77" name="TUSD_PNT" queryTableFieldId="32" dataDxfId="65"/>
    <tableColumn id="78" xr3:uid="{4398ECE8-DC62-4D64-9784-C9E07C048842}" uniqueName="78" name="TUSD_RI" queryTableFieldId="33" dataDxfId="64"/>
    <tableColumn id="79" xr3:uid="{AB7426AD-CEBF-4447-9817-527AEA6D0DB4}" uniqueName="79" name="TE_CDE_COVID" queryTableFieldId="34" dataDxfId="63"/>
    <tableColumn id="80" xr3:uid="{84FDEE2A-67F3-42C8-A5C6-1A7ED12CCAE7}" uniqueName="80" name="TE_CDE_ELET" queryTableFieldId="35" dataDxfId="62"/>
    <tableColumn id="81" xr3:uid="{9731C74A-9713-4AD6-95E6-76D631A8EE69}" uniqueName="81" name="TE_PeD" queryTableFieldId="36" dataDxfId="61"/>
    <tableColumn id="82" xr3:uid="{3B4FAA27-C6D4-4E77-A712-9597542EFD04}" uniqueName="82" name="TE_ESSERR" queryTableFieldId="37" dataDxfId="60"/>
    <tableColumn id="83" xr3:uid="{9FE36E3B-5652-467E-920B-176840062F4F}" uniqueName="83" name="TE_CFURH" queryTableFieldId="38" dataDxfId="59"/>
    <tableColumn id="84" xr3:uid="{5AB056F1-17DF-43C6-AD87-D06C40D2668F}" uniqueName="84" name="TE_ENERGIA" queryTableFieldId="39" dataDxfId="58"/>
    <tableColumn id="85" xr3:uid="{1576B30A-43E4-4D51-BF23-3304424F3977}" uniqueName="85" name="TE_TRANSPORTE_ITAIPU" queryTableFieldId="40" dataDxfId="57"/>
    <tableColumn id="86" xr3:uid="{B814FA27-2020-480B-BE67-C7C0EB831E38}" uniqueName="86" name="TE_TUST_ITAIPU" queryTableFieldId="41" dataDxfId="56"/>
    <tableColumn id="87" xr3:uid="{7B33BF2D-E399-4D13-8CC2-8E46AC505619}" uniqueName="87" name="TE_TUST_CI" queryTableFieldId="42" dataDxfId="55"/>
    <tableColumn id="88" xr3:uid="{929CBA73-1DDC-4119-88F0-D1401DE95D63}" uniqueName="88" name="TE Subsidio" queryTableFieldId="43" dataDxfId="54"/>
    <tableColumn id="89" xr3:uid="{6810F358-8223-4CE5-97A3-8690479D4FC3}" uniqueName="89" name="TE BENEFICIO_L14299" queryTableFieldId="44" dataDxfId="53"/>
    <tableColumn id="90" xr3:uid="{91B4384E-600E-466D-A5D2-AECE1C9D1846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9D9105-19B1-4914-9C67-B2B2279FAF29}" name="TabelaCVA" displayName="TabelaCVA" ref="B3:AT49" tableType="queryTable" totalsRowShown="0" headerRowDxfId="1" dataDxfId="0" headerRowBorderDxfId="48" tableBorderDxfId="49" totalsRowBorderDxfId="47">
  <autoFilter ref="B3:AT49" xr:uid="{C59D9105-19B1-4914-9C67-B2B2279FAF29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0E804A93-806B-4ACD-BCC6-AE3DE517C474}" uniqueName="46" name="SUBGRUPO" queryTableFieldId="1" dataDxfId="46"/>
    <tableColumn id="47" xr3:uid="{05727903-F717-4BCB-BD0F-E311D45295E4}" uniqueName="47" name="MODALIDADE" queryTableFieldId="2" dataDxfId="45"/>
    <tableColumn id="48" xr3:uid="{1FB765B1-6839-4BD5-8F53-B507AB9531BC}" uniqueName="48" name="CLASSE" queryTableFieldId="3" dataDxfId="44"/>
    <tableColumn id="49" xr3:uid="{178D53E2-C23F-4828-B2DB-6E3D35806219}" uniqueName="49" name="SUBCLASSE" queryTableFieldId="4" dataDxfId="43"/>
    <tableColumn id="50" xr3:uid="{88301C18-5885-4770-A6BA-D4D28657BEA2}" uniqueName="50" name="DETALHE" queryTableFieldId="5" dataDxfId="42"/>
    <tableColumn id="51" xr3:uid="{17596624-FCCF-4C43-9A8C-6A3078DDF991}" uniqueName="51" name="POSTO" queryTableFieldId="6" dataDxfId="41"/>
    <tableColumn id="52" xr3:uid="{6C0C1360-9252-4FAF-9174-C62B48158140}" uniqueName="52" name="UNIDADE" queryTableFieldId="7" dataDxfId="40"/>
    <tableColumn id="53" xr3:uid="{94FC4B9C-208D-4156-815F-A6B274B5DF5A}" uniqueName="53" name="ACESSANTE" queryTableFieldId="8" dataDxfId="39"/>
    <tableColumn id="54" xr3:uid="{F210D82C-F8C7-411F-8124-3CB866000363}" uniqueName="54" name="Total TUSD" queryTableFieldId="9" dataDxfId="38"/>
    <tableColumn id="55" xr3:uid="{F0C78E89-BFB7-459B-90C7-E700F9CD0A42}" uniqueName="55" name="Total TE" queryTableFieldId="10" dataDxfId="37"/>
    <tableColumn id="56" xr3:uid="{E578B5E1-86A7-47D4-9280-67007243B426}" uniqueName="56" name="TUSD_CDE_COVID" queryTableFieldId="11" dataDxfId="36"/>
    <tableColumn id="57" xr3:uid="{46BE237F-1246-4859-AA43-D17300E3D4C6}" uniqueName="57" name="TUSD_TFSEE" queryTableFieldId="12" dataDxfId="35"/>
    <tableColumn id="58" xr3:uid="{159100B9-C7D7-4844-B0F8-FFF9474E6213}" uniqueName="58" name="TUSD_PeD" queryTableFieldId="13" dataDxfId="34"/>
    <tableColumn id="59" xr3:uid="{E96258CA-3FAD-43AA-A3EF-CFF56E1EC290}" uniqueName="59" name="TUSD_ONS" queryTableFieldId="14" dataDxfId="33"/>
    <tableColumn id="60" xr3:uid="{4A19436B-1858-437E-8C15-6DBB62956D8E}" uniqueName="60" name="TUSD_CCC" queryTableFieldId="15" dataDxfId="32"/>
    <tableColumn id="61" xr3:uid="{079E8AA4-8983-494C-B091-8972555F818F}" uniqueName="61" name="TUSD_CDE" queryTableFieldId="16" dataDxfId="31"/>
    <tableColumn id="62" xr3:uid="{395C1586-3753-448B-BCF3-5AB7235A703C}" uniqueName="62" name="TUSD_PROINFA" queryTableFieldId="17" dataDxfId="30"/>
    <tableColumn id="63" xr3:uid="{3A8EF6C1-23C6-42C9-9D9C-DAFE06CD90A8}" uniqueName="63" name="Liminar1" queryTableFieldId="18" dataDxfId="29"/>
    <tableColumn id="64" xr3:uid="{9D654C12-6E84-4D8F-8055-33C70D6CB885}" uniqueName="64" name="TUSD_RB" queryTableFieldId="19" dataDxfId="28"/>
    <tableColumn id="65" xr3:uid="{1FF43D99-5A13-477B-8F66-CC0166F9D05E}" uniqueName="65" name="TUSD_FR" queryTableFieldId="20" dataDxfId="27"/>
    <tableColumn id="66" xr3:uid="{FD95F209-5254-4E6B-902F-E2F1788DBCB3}" uniqueName="66" name="TUSD_CCT" queryTableFieldId="21" dataDxfId="26"/>
    <tableColumn id="67" xr3:uid="{CD28FB12-1323-4743-9A48-B7FD2DE0DE42}" uniqueName="67" name="TUSD_CCD" queryTableFieldId="22" dataDxfId="25"/>
    <tableColumn id="68" xr3:uid="{73D532F5-9108-4E1A-933F-67ACAEA93C46}" uniqueName="68" name="TUSD_CUSD" queryTableFieldId="23" dataDxfId="24"/>
    <tableColumn id="69" xr3:uid="{3AF55101-22C7-406E-9115-714F6BF3C429}" uniqueName="69" name="TUSDG_T" queryTableFieldId="24" dataDxfId="23"/>
    <tableColumn id="70" xr3:uid="{F379CFA7-7AD4-49FB-9A99-671267D76ACD}" uniqueName="70" name="TUSDG_ONS" queryTableFieldId="25" dataDxfId="22"/>
    <tableColumn id="71" xr3:uid="{44E3FD8E-94FE-4392-B6A3-7135F602C94A}" uniqueName="71" name="TUSD_FioB" queryTableFieldId="26" dataDxfId="21"/>
    <tableColumn id="72" xr3:uid="{EA93D470-5A73-4525-A80B-E29CD10B7754}" uniqueName="72" name="TUSD Subsidio" queryTableFieldId="27" dataDxfId="20"/>
    <tableColumn id="73" xr3:uid="{B058020D-1E44-492D-99BD-9E880793B769}" uniqueName="73" name="TUSD BENEFICIO_L14299" queryTableFieldId="28" dataDxfId="19"/>
    <tableColumn id="74" xr3:uid="{BB0FF829-8BC6-4F1D-A4C8-363F8664EFB0}" uniqueName="74" name="TUSD Outros" queryTableFieldId="29" dataDxfId="18"/>
    <tableColumn id="75" xr3:uid="{1EF2C2DC-86EF-4E00-9A3A-F579C7A6CA5B}" uniqueName="75" name="TUSD_PT" queryTableFieldId="30" dataDxfId="17"/>
    <tableColumn id="76" xr3:uid="{DF84168A-3148-486F-A2D2-FD1B456BE324}" uniqueName="76" name="TUSD_Per_RB_D" queryTableFieldId="31" dataDxfId="16"/>
    <tableColumn id="77" xr3:uid="{98761316-6C32-47E3-9AA9-B7D5892859B6}" uniqueName="77" name="TUSD_PNT" queryTableFieldId="32" dataDxfId="15"/>
    <tableColumn id="78" xr3:uid="{8B60CB72-778D-4188-8B4D-A619DDEA230F}" uniqueName="78" name="TUSD_RI" queryTableFieldId="33" dataDxfId="14"/>
    <tableColumn id="79" xr3:uid="{823F6561-D4A2-46DA-8611-3CEEB97CAAD5}" uniqueName="79" name="TE_CDE_COVID" queryTableFieldId="34" dataDxfId="13"/>
    <tableColumn id="80" xr3:uid="{560038CF-3B31-4BF0-8DCB-634B1F51BDB6}" uniqueName="80" name="TE_CDE_ELET" queryTableFieldId="35" dataDxfId="12"/>
    <tableColumn id="81" xr3:uid="{6903420B-A943-41AB-AE8F-98782B3F59B7}" uniqueName="81" name="TE_PeD" queryTableFieldId="36" dataDxfId="11"/>
    <tableColumn id="82" xr3:uid="{9A93869B-EB8E-4D67-8BF7-12E7DFBD2020}" uniqueName="82" name="TE_ESSERR" queryTableFieldId="37" dataDxfId="10"/>
    <tableColumn id="83" xr3:uid="{D009336F-632D-45F0-AEFF-55EDDBFD77A8}" uniqueName="83" name="TE_CFURH" queryTableFieldId="38" dataDxfId="9"/>
    <tableColumn id="84" xr3:uid="{5B2566F8-F353-4E5C-97AF-DF56D1F67406}" uniqueName="84" name="TE_ENERGIA" queryTableFieldId="39" dataDxfId="8"/>
    <tableColumn id="85" xr3:uid="{73A31985-5058-4700-A5F8-587CF7BA30E8}" uniqueName="85" name="TE_TRANSPORTE_ITAIPU" queryTableFieldId="40" dataDxfId="7"/>
    <tableColumn id="86" xr3:uid="{24062C4D-DF1A-409B-B889-001E28A0BFB9}" uniqueName="86" name="TE_TUST_ITAIPU" queryTableFieldId="41" dataDxfId="6"/>
    <tableColumn id="87" xr3:uid="{A5C2287C-DC4C-4C5E-B0BB-50AE84DF3703}" uniqueName="87" name="TE_TUST_CI" queryTableFieldId="42" dataDxfId="5"/>
    <tableColumn id="88" xr3:uid="{52FA91B1-80DF-4677-A382-5BCE45508076}" uniqueName="88" name="TE Subsidio" queryTableFieldId="43" dataDxfId="4"/>
    <tableColumn id="89" xr3:uid="{1430A272-246B-4EC9-A34D-673497A63CBF}" uniqueName="89" name="TE BENEFICIO_L14299" queryTableFieldId="44" dataDxfId="3"/>
    <tableColumn id="90" xr3:uid="{27AAA30B-D14A-444D-8FCC-8C394BEE87FA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223F-5243-4134-B44D-33BFA6125E70}">
  <dimension ref="A1:W391"/>
  <sheetViews>
    <sheetView showGridLines="0" topLeftCell="F351" workbookViewId="0">
      <selection activeCell="T392" sqref="T392"/>
    </sheetView>
  </sheetViews>
  <sheetFormatPr defaultColWidth="8.88671875" defaultRowHeight="11.25" customHeight="1" x14ac:dyDescent="0.3"/>
  <cols>
    <col min="1" max="1" width="19.109375" style="3" bestFit="1" customWidth="1"/>
    <col min="2" max="2" width="8.6640625" style="3" bestFit="1" customWidth="1"/>
    <col min="3" max="3" width="10.33203125" style="3" bestFit="1" customWidth="1"/>
    <col min="4" max="4" width="13.5546875" style="3" bestFit="1" customWidth="1"/>
    <col min="5" max="5" width="25.109375" style="3" bestFit="1" customWidth="1"/>
    <col min="6" max="6" width="12.88671875" style="3" bestFit="1" customWidth="1"/>
    <col min="7" max="8" width="10.33203125" style="3" bestFit="1" customWidth="1"/>
    <col min="9" max="9" width="8.6640625" style="6" bestFit="1" customWidth="1"/>
    <col min="10" max="12" width="7" style="4" bestFit="1" customWidth="1"/>
    <col min="13" max="13" width="8" style="4" bestFit="1" customWidth="1"/>
    <col min="14" max="16" width="7" style="4" bestFit="1" customWidth="1"/>
    <col min="17" max="17" width="6.5546875" style="3" bestFit="1" customWidth="1"/>
    <col min="18" max="18" width="8.5546875" style="3" bestFit="1" customWidth="1"/>
    <col min="19" max="19" width="78.109375" style="3" bestFit="1" customWidth="1"/>
    <col min="20" max="20" width="83.88671875" style="3" bestFit="1" customWidth="1"/>
    <col min="21" max="21" width="18.44140625" style="3" bestFit="1" customWidth="1"/>
    <col min="22" max="22" width="19.88671875" style="3" bestFit="1" customWidth="1"/>
    <col min="23" max="23" width="17.6640625" style="3" bestFit="1" customWidth="1"/>
    <col min="24" max="16384" width="8.88671875" style="3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92</v>
      </c>
      <c r="T1" s="1" t="s">
        <v>261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3" t="s">
        <v>21</v>
      </c>
      <c r="B2" s="3" t="s">
        <v>35</v>
      </c>
      <c r="C2" s="3" t="s">
        <v>36</v>
      </c>
      <c r="D2" s="3" t="s">
        <v>39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4">
        <v>0</v>
      </c>
      <c r="L2" s="4">
        <v>25.719000000000001</v>
      </c>
      <c r="M2" s="4">
        <v>25.719000000000001</v>
      </c>
      <c r="N2" s="4">
        <v>25.719000000000001</v>
      </c>
      <c r="O2" s="4">
        <v>25.719000000000001</v>
      </c>
      <c r="P2" s="4">
        <v>0</v>
      </c>
      <c r="Q2" s="3" t="s">
        <v>26</v>
      </c>
      <c r="R2" s="3">
        <v>0</v>
      </c>
      <c r="S2" s="3" t="s">
        <v>93</v>
      </c>
      <c r="T2" s="3" t="s">
        <v>262</v>
      </c>
      <c r="U2" s="3">
        <v>0</v>
      </c>
      <c r="V2" s="3">
        <v>8</v>
      </c>
      <c r="W2" s="3">
        <v>51</v>
      </c>
    </row>
    <row r="3" spans="1:23" ht="11.25" customHeight="1" x14ac:dyDescent="0.3">
      <c r="A3" s="3" t="s">
        <v>21</v>
      </c>
      <c r="B3" s="3" t="s">
        <v>35</v>
      </c>
      <c r="C3" s="3" t="s">
        <v>36</v>
      </c>
      <c r="D3" s="3" t="s">
        <v>39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44470</v>
      </c>
      <c r="J3" s="4">
        <v>0</v>
      </c>
      <c r="K3" s="4">
        <v>0</v>
      </c>
      <c r="L3" s="4">
        <v>26.542000000000002</v>
      </c>
      <c r="M3" s="4">
        <v>26.542000000000002</v>
      </c>
      <c r="N3" s="4">
        <v>26.542000000000002</v>
      </c>
      <c r="O3" s="4">
        <v>26.542000000000002</v>
      </c>
      <c r="P3" s="4">
        <v>0</v>
      </c>
      <c r="Q3" s="3" t="s">
        <v>26</v>
      </c>
      <c r="R3" s="3">
        <v>0</v>
      </c>
      <c r="S3" s="3" t="s">
        <v>94</v>
      </c>
      <c r="T3" s="3" t="s">
        <v>263</v>
      </c>
      <c r="U3" s="3">
        <v>0</v>
      </c>
      <c r="V3" s="3">
        <v>8</v>
      </c>
      <c r="W3" s="3">
        <v>51</v>
      </c>
    </row>
    <row r="4" spans="1:23" ht="11.25" customHeight="1" x14ac:dyDescent="0.3">
      <c r="A4" s="3" t="s">
        <v>21</v>
      </c>
      <c r="B4" s="3" t="s">
        <v>35</v>
      </c>
      <c r="C4" s="3" t="s">
        <v>36</v>
      </c>
      <c r="D4" s="3" t="s">
        <v>39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44501</v>
      </c>
      <c r="J4" s="4">
        <v>0</v>
      </c>
      <c r="K4" s="4">
        <v>0</v>
      </c>
      <c r="L4" s="4">
        <v>28.847000000000001</v>
      </c>
      <c r="M4" s="4">
        <v>28.847000000000001</v>
      </c>
      <c r="N4" s="4">
        <v>28.847000000000001</v>
      </c>
      <c r="O4" s="4">
        <v>28.847000000000001</v>
      </c>
      <c r="P4" s="4">
        <v>0</v>
      </c>
      <c r="Q4" s="3" t="s">
        <v>26</v>
      </c>
      <c r="R4" s="3">
        <v>0</v>
      </c>
      <c r="S4" s="3" t="s">
        <v>95</v>
      </c>
      <c r="T4" s="3" t="s">
        <v>264</v>
      </c>
      <c r="U4" s="3">
        <v>0</v>
      </c>
      <c r="V4" s="3">
        <v>8</v>
      </c>
      <c r="W4" s="3">
        <v>51</v>
      </c>
    </row>
    <row r="5" spans="1:23" ht="11.25" customHeight="1" x14ac:dyDescent="0.3">
      <c r="A5" s="3" t="s">
        <v>21</v>
      </c>
      <c r="B5" s="3" t="s">
        <v>35</v>
      </c>
      <c r="C5" s="3" t="s">
        <v>36</v>
      </c>
      <c r="D5" s="3" t="s">
        <v>39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44531</v>
      </c>
      <c r="J5" s="4">
        <v>0</v>
      </c>
      <c r="K5" s="4">
        <v>0</v>
      </c>
      <c r="L5" s="4">
        <v>32.871000000000002</v>
      </c>
      <c r="M5" s="4">
        <v>32.871000000000002</v>
      </c>
      <c r="N5" s="4">
        <v>32.871000000000002</v>
      </c>
      <c r="O5" s="4">
        <v>32.871000000000002</v>
      </c>
      <c r="P5" s="4">
        <v>0</v>
      </c>
      <c r="Q5" s="3" t="s">
        <v>26</v>
      </c>
      <c r="R5" s="3">
        <v>0</v>
      </c>
      <c r="S5" s="3" t="s">
        <v>96</v>
      </c>
      <c r="T5" s="3" t="s">
        <v>265</v>
      </c>
      <c r="U5" s="3">
        <v>0</v>
      </c>
      <c r="V5" s="3">
        <v>8</v>
      </c>
      <c r="W5" s="3">
        <v>51</v>
      </c>
    </row>
    <row r="6" spans="1:23" ht="11.25" customHeight="1" x14ac:dyDescent="0.3">
      <c r="A6" s="3" t="s">
        <v>21</v>
      </c>
      <c r="B6" s="3" t="s">
        <v>35</v>
      </c>
      <c r="C6" s="3" t="s">
        <v>36</v>
      </c>
      <c r="D6" s="3" t="s">
        <v>39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44562</v>
      </c>
      <c r="J6" s="4">
        <v>0</v>
      </c>
      <c r="K6" s="4">
        <v>0</v>
      </c>
      <c r="L6" s="4">
        <v>35.694000000000003</v>
      </c>
      <c r="M6" s="4">
        <v>35.694000000000003</v>
      </c>
      <c r="N6" s="4">
        <v>35.694000000000003</v>
      </c>
      <c r="O6" s="4">
        <v>35.694000000000003</v>
      </c>
      <c r="P6" s="4">
        <v>0</v>
      </c>
      <c r="Q6" s="3" t="s">
        <v>26</v>
      </c>
      <c r="R6" s="3">
        <v>0</v>
      </c>
      <c r="S6" s="3" t="s">
        <v>97</v>
      </c>
      <c r="T6" s="3" t="s">
        <v>266</v>
      </c>
      <c r="U6" s="3">
        <v>0</v>
      </c>
      <c r="V6" s="3">
        <v>8</v>
      </c>
      <c r="W6" s="3">
        <v>51</v>
      </c>
    </row>
    <row r="7" spans="1:23" ht="11.25" customHeight="1" x14ac:dyDescent="0.3">
      <c r="A7" s="3" t="s">
        <v>21</v>
      </c>
      <c r="B7" s="3" t="s">
        <v>35</v>
      </c>
      <c r="C7" s="3" t="s">
        <v>36</v>
      </c>
      <c r="D7" s="3" t="s">
        <v>39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44593</v>
      </c>
      <c r="J7" s="4">
        <v>0</v>
      </c>
      <c r="K7" s="4">
        <v>0</v>
      </c>
      <c r="L7" s="4">
        <v>31.585000000000001</v>
      </c>
      <c r="M7" s="4">
        <v>31.585000000000001</v>
      </c>
      <c r="N7" s="4">
        <v>31.585000000000001</v>
      </c>
      <c r="O7" s="4">
        <v>31.585000000000001</v>
      </c>
      <c r="P7" s="4">
        <v>0</v>
      </c>
      <c r="Q7" s="3" t="s">
        <v>26</v>
      </c>
      <c r="R7" s="3">
        <v>0</v>
      </c>
      <c r="S7" s="3" t="s">
        <v>98</v>
      </c>
      <c r="T7" s="3" t="s">
        <v>267</v>
      </c>
      <c r="U7" s="3">
        <v>0</v>
      </c>
      <c r="V7" s="3">
        <v>8</v>
      </c>
      <c r="W7" s="3">
        <v>51</v>
      </c>
    </row>
    <row r="8" spans="1:23" ht="11.25" customHeight="1" x14ac:dyDescent="0.3">
      <c r="A8" s="3" t="s">
        <v>21</v>
      </c>
      <c r="B8" s="3" t="s">
        <v>35</v>
      </c>
      <c r="C8" s="3" t="s">
        <v>36</v>
      </c>
      <c r="D8" s="3" t="s">
        <v>39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44621</v>
      </c>
      <c r="J8" s="4">
        <v>0</v>
      </c>
      <c r="K8" s="4">
        <v>0</v>
      </c>
      <c r="L8" s="4">
        <v>31.95</v>
      </c>
      <c r="M8" s="4">
        <v>31.95</v>
      </c>
      <c r="N8" s="4">
        <v>31.95</v>
      </c>
      <c r="O8" s="4">
        <v>31.95</v>
      </c>
      <c r="P8" s="4">
        <v>0</v>
      </c>
      <c r="Q8" s="3" t="s">
        <v>26</v>
      </c>
      <c r="R8" s="3">
        <v>0</v>
      </c>
      <c r="S8" s="3" t="s">
        <v>99</v>
      </c>
      <c r="T8" s="3" t="s">
        <v>268</v>
      </c>
      <c r="U8" s="3">
        <v>0</v>
      </c>
      <c r="V8" s="3">
        <v>8</v>
      </c>
      <c r="W8" s="3">
        <v>51</v>
      </c>
    </row>
    <row r="9" spans="1:23" ht="11.25" customHeight="1" x14ac:dyDescent="0.3">
      <c r="A9" s="3" t="s">
        <v>21</v>
      </c>
      <c r="B9" s="3" t="s">
        <v>35</v>
      </c>
      <c r="C9" s="3" t="s">
        <v>36</v>
      </c>
      <c r="D9" s="3" t="s">
        <v>39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44652</v>
      </c>
      <c r="J9" s="4">
        <v>0</v>
      </c>
      <c r="K9" s="4">
        <v>0</v>
      </c>
      <c r="L9" s="4">
        <v>29.888000000000002</v>
      </c>
      <c r="M9" s="4">
        <v>29.888000000000002</v>
      </c>
      <c r="N9" s="4">
        <v>29.888000000000002</v>
      </c>
      <c r="O9" s="4">
        <v>29.888000000000002</v>
      </c>
      <c r="P9" s="4">
        <v>0</v>
      </c>
      <c r="Q9" s="3" t="s">
        <v>26</v>
      </c>
      <c r="R9" s="3">
        <v>0</v>
      </c>
      <c r="S9" s="3" t="s">
        <v>100</v>
      </c>
      <c r="T9" s="3" t="s">
        <v>269</v>
      </c>
      <c r="U9" s="3">
        <v>0</v>
      </c>
      <c r="V9" s="3">
        <v>8</v>
      </c>
      <c r="W9" s="3">
        <v>51</v>
      </c>
    </row>
    <row r="10" spans="1:23" ht="11.25" customHeight="1" x14ac:dyDescent="0.3">
      <c r="A10" s="3" t="s">
        <v>21</v>
      </c>
      <c r="B10" s="3" t="s">
        <v>35</v>
      </c>
      <c r="C10" s="3" t="s">
        <v>36</v>
      </c>
      <c r="D10" s="3" t="s">
        <v>39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0</v>
      </c>
      <c r="K10" s="4">
        <v>0</v>
      </c>
      <c r="L10" s="4">
        <v>27.405999999999999</v>
      </c>
      <c r="M10" s="4">
        <v>27.405999999999999</v>
      </c>
      <c r="N10" s="4">
        <v>27.405999999999999</v>
      </c>
      <c r="O10" s="4">
        <v>27.405999999999999</v>
      </c>
      <c r="P10" s="4">
        <v>0</v>
      </c>
      <c r="Q10" s="3" t="s">
        <v>26</v>
      </c>
      <c r="R10" s="3">
        <v>0</v>
      </c>
      <c r="S10" s="3" t="s">
        <v>101</v>
      </c>
      <c r="T10" s="3" t="s">
        <v>270</v>
      </c>
      <c r="U10" s="3">
        <v>0</v>
      </c>
      <c r="V10" s="3">
        <v>8</v>
      </c>
      <c r="W10" s="3">
        <v>51</v>
      </c>
    </row>
    <row r="11" spans="1:23" ht="11.25" customHeight="1" x14ac:dyDescent="0.3">
      <c r="A11" s="3" t="s">
        <v>21</v>
      </c>
      <c r="B11" s="3" t="s">
        <v>35</v>
      </c>
      <c r="C11" s="3" t="s">
        <v>36</v>
      </c>
      <c r="D11" s="3" t="s">
        <v>39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0</v>
      </c>
      <c r="K11" s="4">
        <v>0</v>
      </c>
      <c r="L11" s="4">
        <v>24.952999999999999</v>
      </c>
      <c r="M11" s="4">
        <v>24.952999999999999</v>
      </c>
      <c r="N11" s="4">
        <v>24.952999999999999</v>
      </c>
      <c r="O11" s="4">
        <v>24.952999999999999</v>
      </c>
      <c r="P11" s="4">
        <v>0</v>
      </c>
      <c r="Q11" s="3" t="s">
        <v>26</v>
      </c>
      <c r="R11" s="3">
        <v>0</v>
      </c>
      <c r="S11" s="3" t="s">
        <v>102</v>
      </c>
      <c r="T11" s="3" t="s">
        <v>271</v>
      </c>
      <c r="U11" s="3">
        <v>0</v>
      </c>
      <c r="V11" s="3">
        <v>8</v>
      </c>
      <c r="W11" s="3">
        <v>51</v>
      </c>
    </row>
    <row r="12" spans="1:23" ht="11.25" customHeight="1" x14ac:dyDescent="0.3">
      <c r="A12" s="3" t="s">
        <v>21</v>
      </c>
      <c r="B12" s="3" t="s">
        <v>35</v>
      </c>
      <c r="C12" s="3" t="s">
        <v>36</v>
      </c>
      <c r="D12" s="3" t="s">
        <v>39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0</v>
      </c>
      <c r="K12" s="4">
        <v>0</v>
      </c>
      <c r="L12" s="4">
        <v>26.928999999999998</v>
      </c>
      <c r="M12" s="4">
        <v>26.928999999999998</v>
      </c>
      <c r="N12" s="4">
        <v>26.928999999999998</v>
      </c>
      <c r="O12" s="4">
        <v>26.928999999999998</v>
      </c>
      <c r="P12" s="4">
        <v>0</v>
      </c>
      <c r="Q12" s="3" t="s">
        <v>26</v>
      </c>
      <c r="R12" s="3">
        <v>0</v>
      </c>
      <c r="S12" s="3" t="s">
        <v>103</v>
      </c>
      <c r="T12" s="3" t="s">
        <v>272</v>
      </c>
      <c r="U12" s="3">
        <v>0</v>
      </c>
      <c r="V12" s="3">
        <v>8</v>
      </c>
      <c r="W12" s="3">
        <v>51</v>
      </c>
    </row>
    <row r="13" spans="1:23" ht="11.25" customHeight="1" x14ac:dyDescent="0.3">
      <c r="A13" s="3" t="s">
        <v>55</v>
      </c>
      <c r="B13" s="3" t="s">
        <v>35</v>
      </c>
      <c r="C13" s="3" t="s">
        <v>36</v>
      </c>
      <c r="D13" s="3" t="s">
        <v>39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0</v>
      </c>
      <c r="K13" s="4">
        <v>0</v>
      </c>
      <c r="L13" s="4">
        <v>26.928999999999998</v>
      </c>
      <c r="M13" s="4">
        <v>26.928999999999998</v>
      </c>
      <c r="N13" s="4">
        <v>26.928999999999998</v>
      </c>
      <c r="O13" s="4">
        <v>26.928999999999998</v>
      </c>
      <c r="P13" s="4">
        <v>0</v>
      </c>
      <c r="Q13" s="3" t="s">
        <v>26</v>
      </c>
      <c r="R13" s="3">
        <v>0</v>
      </c>
      <c r="S13" s="3" t="s">
        <v>104</v>
      </c>
      <c r="T13" s="3" t="s">
        <v>273</v>
      </c>
      <c r="U13" s="3">
        <v>0</v>
      </c>
      <c r="V13" s="3">
        <v>8</v>
      </c>
      <c r="W13" s="3">
        <v>51</v>
      </c>
    </row>
    <row r="14" spans="1:23" ht="11.25" customHeight="1" x14ac:dyDescent="0.3">
      <c r="A14" s="3" t="s">
        <v>21</v>
      </c>
      <c r="B14" s="3" t="s">
        <v>35</v>
      </c>
      <c r="C14" s="3" t="s">
        <v>36</v>
      </c>
      <c r="D14" s="3" t="s">
        <v>39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44440</v>
      </c>
      <c r="J14" s="4">
        <v>98</v>
      </c>
      <c r="K14" s="4">
        <v>98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3" t="s">
        <v>26</v>
      </c>
      <c r="R14" s="3">
        <v>0</v>
      </c>
      <c r="S14" s="3" t="s">
        <v>105</v>
      </c>
      <c r="U14" s="3">
        <v>6</v>
      </c>
      <c r="V14" s="3">
        <v>0</v>
      </c>
      <c r="W14" s="3">
        <v>0</v>
      </c>
    </row>
    <row r="15" spans="1:23" ht="11.25" customHeight="1" x14ac:dyDescent="0.3">
      <c r="A15" s="3" t="s">
        <v>21</v>
      </c>
      <c r="B15" s="3" t="s">
        <v>35</v>
      </c>
      <c r="C15" s="3" t="s">
        <v>36</v>
      </c>
      <c r="D15" s="3" t="s">
        <v>39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44470</v>
      </c>
      <c r="J15" s="4">
        <v>95</v>
      </c>
      <c r="K15" s="4">
        <v>95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3" t="s">
        <v>26</v>
      </c>
      <c r="R15" s="3">
        <v>0</v>
      </c>
      <c r="S15" s="3" t="s">
        <v>106</v>
      </c>
      <c r="U15" s="3">
        <v>6</v>
      </c>
      <c r="V15" s="3">
        <v>0</v>
      </c>
      <c r="W15" s="3">
        <v>0</v>
      </c>
    </row>
    <row r="16" spans="1:23" ht="11.25" customHeight="1" x14ac:dyDescent="0.3">
      <c r="A16" s="3" t="s">
        <v>21</v>
      </c>
      <c r="B16" s="3" t="s">
        <v>35</v>
      </c>
      <c r="C16" s="3" t="s">
        <v>36</v>
      </c>
      <c r="D16" s="3" t="s">
        <v>39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44501</v>
      </c>
      <c r="J16" s="4">
        <v>100</v>
      </c>
      <c r="K16" s="4">
        <v>100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3" t="s">
        <v>26</v>
      </c>
      <c r="R16" s="3">
        <v>0</v>
      </c>
      <c r="S16" s="3" t="s">
        <v>107</v>
      </c>
      <c r="U16" s="3">
        <v>6</v>
      </c>
      <c r="V16" s="3">
        <v>0</v>
      </c>
      <c r="W16" s="3">
        <v>0</v>
      </c>
    </row>
    <row r="17" spans="1:23" ht="11.25" customHeight="1" x14ac:dyDescent="0.3">
      <c r="A17" s="3" t="s">
        <v>21</v>
      </c>
      <c r="B17" s="3" t="s">
        <v>35</v>
      </c>
      <c r="C17" s="3" t="s">
        <v>36</v>
      </c>
      <c r="D17" s="3" t="s">
        <v>39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44531</v>
      </c>
      <c r="J17" s="4">
        <v>112</v>
      </c>
      <c r="K17" s="4">
        <v>112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3" t="s">
        <v>26</v>
      </c>
      <c r="R17" s="3">
        <v>0</v>
      </c>
      <c r="S17" s="3" t="s">
        <v>108</v>
      </c>
      <c r="U17" s="3">
        <v>6</v>
      </c>
      <c r="V17" s="3">
        <v>0</v>
      </c>
      <c r="W17" s="3">
        <v>0</v>
      </c>
    </row>
    <row r="18" spans="1:23" ht="11.25" customHeight="1" x14ac:dyDescent="0.3">
      <c r="A18" s="3" t="s">
        <v>21</v>
      </c>
      <c r="B18" s="3" t="s">
        <v>35</v>
      </c>
      <c r="C18" s="3" t="s">
        <v>36</v>
      </c>
      <c r="D18" s="3" t="s">
        <v>39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44562</v>
      </c>
      <c r="J18" s="4">
        <v>115</v>
      </c>
      <c r="K18" s="4">
        <v>115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3" t="s">
        <v>26</v>
      </c>
      <c r="R18" s="3">
        <v>0</v>
      </c>
      <c r="S18" s="3" t="s">
        <v>109</v>
      </c>
      <c r="U18" s="3">
        <v>6</v>
      </c>
      <c r="V18" s="3">
        <v>0</v>
      </c>
      <c r="W18" s="3">
        <v>0</v>
      </c>
    </row>
    <row r="19" spans="1:23" ht="11.25" customHeight="1" x14ac:dyDescent="0.3">
      <c r="A19" s="3" t="s">
        <v>21</v>
      </c>
      <c r="B19" s="3" t="s">
        <v>35</v>
      </c>
      <c r="C19" s="3" t="s">
        <v>36</v>
      </c>
      <c r="D19" s="3" t="s">
        <v>39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44593</v>
      </c>
      <c r="J19" s="4">
        <v>110</v>
      </c>
      <c r="K19" s="4">
        <v>110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3" t="s">
        <v>26</v>
      </c>
      <c r="R19" s="3">
        <v>0</v>
      </c>
      <c r="S19" s="3" t="s">
        <v>110</v>
      </c>
      <c r="U19" s="3">
        <v>6</v>
      </c>
      <c r="V19" s="3">
        <v>0</v>
      </c>
      <c r="W19" s="3">
        <v>0</v>
      </c>
    </row>
    <row r="20" spans="1:23" ht="11.25" customHeight="1" x14ac:dyDescent="0.3">
      <c r="A20" s="3" t="s">
        <v>21</v>
      </c>
      <c r="B20" s="3" t="s">
        <v>35</v>
      </c>
      <c r="C20" s="3" t="s">
        <v>36</v>
      </c>
      <c r="D20" s="3" t="s">
        <v>39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44621</v>
      </c>
      <c r="J20" s="4">
        <v>110</v>
      </c>
      <c r="K20" s="4">
        <v>110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3" t="s">
        <v>26</v>
      </c>
      <c r="R20" s="3">
        <v>0</v>
      </c>
      <c r="S20" s="3" t="s">
        <v>111</v>
      </c>
      <c r="U20" s="3">
        <v>6</v>
      </c>
      <c r="V20" s="3">
        <v>0</v>
      </c>
      <c r="W20" s="3">
        <v>0</v>
      </c>
    </row>
    <row r="21" spans="1:23" ht="11.25" customHeight="1" x14ac:dyDescent="0.3">
      <c r="A21" s="3" t="s">
        <v>21</v>
      </c>
      <c r="B21" s="3" t="s">
        <v>35</v>
      </c>
      <c r="C21" s="3" t="s">
        <v>36</v>
      </c>
      <c r="D21" s="3" t="s">
        <v>39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44652</v>
      </c>
      <c r="J21" s="4">
        <v>110</v>
      </c>
      <c r="K21" s="4">
        <v>110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3" t="s">
        <v>26</v>
      </c>
      <c r="R21" s="3">
        <v>0</v>
      </c>
      <c r="S21" s="3" t="s">
        <v>112</v>
      </c>
      <c r="U21" s="3">
        <v>6</v>
      </c>
      <c r="V21" s="3">
        <v>0</v>
      </c>
      <c r="W21" s="3">
        <v>0</v>
      </c>
    </row>
    <row r="22" spans="1:23" ht="11.25" customHeight="1" x14ac:dyDescent="0.3">
      <c r="A22" s="3" t="s">
        <v>21</v>
      </c>
      <c r="B22" s="3" t="s">
        <v>35</v>
      </c>
      <c r="C22" s="3" t="s">
        <v>36</v>
      </c>
      <c r="D22" s="3" t="s">
        <v>39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44682</v>
      </c>
      <c r="J22" s="4">
        <v>110</v>
      </c>
      <c r="K22" s="4">
        <v>110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3" t="s">
        <v>26</v>
      </c>
      <c r="R22" s="3">
        <v>0</v>
      </c>
      <c r="S22" s="3" t="s">
        <v>113</v>
      </c>
      <c r="U22" s="3">
        <v>6</v>
      </c>
      <c r="V22" s="3">
        <v>0</v>
      </c>
      <c r="W22" s="3">
        <v>0</v>
      </c>
    </row>
    <row r="23" spans="1:23" ht="11.25" customHeight="1" x14ac:dyDescent="0.3">
      <c r="A23" s="3" t="s">
        <v>21</v>
      </c>
      <c r="B23" s="3" t="s">
        <v>35</v>
      </c>
      <c r="C23" s="3" t="s">
        <v>36</v>
      </c>
      <c r="D23" s="3" t="s">
        <v>39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44713</v>
      </c>
      <c r="J23" s="4">
        <v>110</v>
      </c>
      <c r="K23" s="4">
        <v>110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3" t="s">
        <v>26</v>
      </c>
      <c r="R23" s="3">
        <v>0</v>
      </c>
      <c r="S23" s="3" t="s">
        <v>114</v>
      </c>
      <c r="U23" s="3">
        <v>6</v>
      </c>
      <c r="V23" s="3">
        <v>0</v>
      </c>
      <c r="W23" s="3">
        <v>0</v>
      </c>
    </row>
    <row r="24" spans="1:23" ht="11.25" customHeight="1" x14ac:dyDescent="0.3">
      <c r="A24" s="3" t="s">
        <v>21</v>
      </c>
      <c r="B24" s="3" t="s">
        <v>35</v>
      </c>
      <c r="C24" s="3" t="s">
        <v>36</v>
      </c>
      <c r="D24" s="3" t="s">
        <v>39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44743</v>
      </c>
      <c r="J24" s="4">
        <v>85</v>
      </c>
      <c r="K24" s="4">
        <v>85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3" t="s">
        <v>26</v>
      </c>
      <c r="R24" s="3">
        <v>0</v>
      </c>
      <c r="S24" s="3" t="s">
        <v>115</v>
      </c>
      <c r="U24" s="3">
        <v>6</v>
      </c>
      <c r="V24" s="3">
        <v>0</v>
      </c>
      <c r="W24" s="3">
        <v>0</v>
      </c>
    </row>
    <row r="25" spans="1:23" ht="11.25" customHeight="1" x14ac:dyDescent="0.3">
      <c r="A25" s="3" t="s">
        <v>55</v>
      </c>
      <c r="B25" s="3" t="s">
        <v>35</v>
      </c>
      <c r="C25" s="3" t="s">
        <v>36</v>
      </c>
      <c r="D25" s="3" t="s">
        <v>39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44774</v>
      </c>
      <c r="J25" s="4">
        <v>85</v>
      </c>
      <c r="K25" s="4">
        <v>85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3" t="s">
        <v>26</v>
      </c>
      <c r="R25" s="3">
        <v>0</v>
      </c>
      <c r="S25" s="3" t="s">
        <v>116</v>
      </c>
      <c r="U25" s="3">
        <v>6</v>
      </c>
      <c r="V25" s="3">
        <v>0</v>
      </c>
      <c r="W25" s="3">
        <v>0</v>
      </c>
    </row>
    <row r="26" spans="1:23" ht="11.25" customHeight="1" x14ac:dyDescent="0.3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0</v>
      </c>
      <c r="K26" s="4">
        <v>0</v>
      </c>
      <c r="L26" s="4">
        <v>2.3650000000000002</v>
      </c>
      <c r="M26" s="4">
        <v>2.3650000000000002</v>
      </c>
      <c r="N26" s="4">
        <v>2.3650000000000002</v>
      </c>
      <c r="O26" s="4">
        <v>2.3650000000000002</v>
      </c>
      <c r="P26" s="4">
        <v>0</v>
      </c>
      <c r="Q26" s="3" t="s">
        <v>26</v>
      </c>
      <c r="R26" s="3">
        <v>0</v>
      </c>
      <c r="S26" s="3" t="s">
        <v>117</v>
      </c>
      <c r="T26" s="3" t="s">
        <v>278</v>
      </c>
      <c r="U26" s="3">
        <v>0</v>
      </c>
      <c r="V26" s="3">
        <v>7</v>
      </c>
      <c r="W26" s="3">
        <v>50</v>
      </c>
    </row>
    <row r="27" spans="1:23" ht="11.25" customHeight="1" x14ac:dyDescent="0.3">
      <c r="A27" s="3" t="s">
        <v>21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44470</v>
      </c>
      <c r="J27" s="4">
        <v>0</v>
      </c>
      <c r="K27" s="4">
        <v>0</v>
      </c>
      <c r="L27" s="4">
        <v>2.198</v>
      </c>
      <c r="M27" s="4">
        <v>2.198</v>
      </c>
      <c r="N27" s="4">
        <v>2.198</v>
      </c>
      <c r="O27" s="4">
        <v>2.198</v>
      </c>
      <c r="P27" s="4">
        <v>0</v>
      </c>
      <c r="Q27" s="3" t="s">
        <v>26</v>
      </c>
      <c r="R27" s="3">
        <v>0</v>
      </c>
      <c r="S27" s="3" t="s">
        <v>118</v>
      </c>
      <c r="T27" s="3" t="s">
        <v>279</v>
      </c>
      <c r="U27" s="3">
        <v>0</v>
      </c>
      <c r="V27" s="3">
        <v>7</v>
      </c>
      <c r="W27" s="3">
        <v>50</v>
      </c>
    </row>
    <row r="28" spans="1:23" ht="11.25" customHeight="1" x14ac:dyDescent="0.3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44501</v>
      </c>
      <c r="J28" s="4">
        <v>0</v>
      </c>
      <c r="K28" s="4">
        <v>0</v>
      </c>
      <c r="L28" s="4">
        <v>2.4809999999999999</v>
      </c>
      <c r="M28" s="4">
        <v>2.4809999999999999</v>
      </c>
      <c r="N28" s="4">
        <v>2.4809999999999999</v>
      </c>
      <c r="O28" s="4">
        <v>2.4809999999999999</v>
      </c>
      <c r="P28" s="4">
        <v>0</v>
      </c>
      <c r="Q28" s="3" t="s">
        <v>26</v>
      </c>
      <c r="R28" s="3">
        <v>0</v>
      </c>
      <c r="S28" s="3" t="s">
        <v>119</v>
      </c>
      <c r="T28" s="3" t="s">
        <v>280</v>
      </c>
      <c r="U28" s="3">
        <v>0</v>
      </c>
      <c r="V28" s="3">
        <v>7</v>
      </c>
      <c r="W28" s="3">
        <v>50</v>
      </c>
    </row>
    <row r="29" spans="1:23" ht="11.25" customHeight="1" x14ac:dyDescent="0.3">
      <c r="A29" s="3" t="s">
        <v>21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44531</v>
      </c>
      <c r="J29" s="4">
        <v>0</v>
      </c>
      <c r="K29" s="4">
        <v>0</v>
      </c>
      <c r="L29" s="4">
        <v>3.2309999999999999</v>
      </c>
      <c r="M29" s="4">
        <v>3.2309999999999999</v>
      </c>
      <c r="N29" s="4">
        <v>3.2309999999999999</v>
      </c>
      <c r="O29" s="4">
        <v>3.2309999999999999</v>
      </c>
      <c r="P29" s="4">
        <v>0</v>
      </c>
      <c r="Q29" s="3" t="s">
        <v>26</v>
      </c>
      <c r="R29" s="3">
        <v>0</v>
      </c>
      <c r="S29" s="3" t="s">
        <v>120</v>
      </c>
      <c r="T29" s="3" t="s">
        <v>281</v>
      </c>
      <c r="U29" s="3">
        <v>0</v>
      </c>
      <c r="V29" s="3">
        <v>7</v>
      </c>
      <c r="W29" s="3">
        <v>50</v>
      </c>
    </row>
    <row r="30" spans="1:23" ht="11.25" customHeight="1" x14ac:dyDescent="0.3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44562</v>
      </c>
      <c r="J30" s="4">
        <v>0</v>
      </c>
      <c r="K30" s="4">
        <v>0</v>
      </c>
      <c r="L30" s="4">
        <v>3.2650000000000001</v>
      </c>
      <c r="M30" s="4">
        <v>3.2650000000000001</v>
      </c>
      <c r="N30" s="4">
        <v>3.2650000000000001</v>
      </c>
      <c r="O30" s="4">
        <v>3.2650000000000001</v>
      </c>
      <c r="P30" s="4">
        <v>0</v>
      </c>
      <c r="Q30" s="3" t="s">
        <v>26</v>
      </c>
      <c r="R30" s="3">
        <v>0</v>
      </c>
      <c r="S30" s="3" t="s">
        <v>121</v>
      </c>
      <c r="T30" s="3" t="s">
        <v>282</v>
      </c>
      <c r="U30" s="3">
        <v>0</v>
      </c>
      <c r="V30" s="3">
        <v>7</v>
      </c>
      <c r="W30" s="3">
        <v>50</v>
      </c>
    </row>
    <row r="31" spans="1:23" ht="11.25" customHeight="1" x14ac:dyDescent="0.3">
      <c r="A31" s="3" t="s">
        <v>21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44593</v>
      </c>
      <c r="J31" s="4">
        <v>0</v>
      </c>
      <c r="K31" s="4">
        <v>0</v>
      </c>
      <c r="L31" s="4">
        <v>3.0550000000000002</v>
      </c>
      <c r="M31" s="4">
        <v>3.0550000000000002</v>
      </c>
      <c r="N31" s="4">
        <v>3.0550000000000002</v>
      </c>
      <c r="O31" s="4">
        <v>3.0550000000000002</v>
      </c>
      <c r="P31" s="4">
        <v>0</v>
      </c>
      <c r="Q31" s="3" t="s">
        <v>26</v>
      </c>
      <c r="R31" s="3">
        <v>0</v>
      </c>
      <c r="S31" s="3" t="s">
        <v>122</v>
      </c>
      <c r="T31" s="3" t="s">
        <v>283</v>
      </c>
      <c r="U31" s="3">
        <v>0</v>
      </c>
      <c r="V31" s="3">
        <v>7</v>
      </c>
      <c r="W31" s="3">
        <v>50</v>
      </c>
    </row>
    <row r="32" spans="1:23" ht="11.25" customHeight="1" x14ac:dyDescent="0.3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44621</v>
      </c>
      <c r="J32" s="4">
        <v>0</v>
      </c>
      <c r="K32" s="4">
        <v>0</v>
      </c>
      <c r="L32" s="4">
        <v>2.8220000000000001</v>
      </c>
      <c r="M32" s="4">
        <v>2.8220000000000001</v>
      </c>
      <c r="N32" s="4">
        <v>2.8220000000000001</v>
      </c>
      <c r="O32" s="4">
        <v>2.8220000000000001</v>
      </c>
      <c r="P32" s="4">
        <v>0</v>
      </c>
      <c r="Q32" s="3" t="s">
        <v>26</v>
      </c>
      <c r="R32" s="3">
        <v>0</v>
      </c>
      <c r="S32" s="3" t="s">
        <v>123</v>
      </c>
      <c r="T32" s="3" t="s">
        <v>284</v>
      </c>
      <c r="U32" s="3">
        <v>0</v>
      </c>
      <c r="V32" s="3">
        <v>7</v>
      </c>
      <c r="W32" s="3">
        <v>50</v>
      </c>
    </row>
    <row r="33" spans="1:23" ht="11.25" customHeight="1" x14ac:dyDescent="0.3">
      <c r="A33" s="3" t="s">
        <v>21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44652</v>
      </c>
      <c r="J33" s="4">
        <v>0</v>
      </c>
      <c r="K33" s="4">
        <v>0</v>
      </c>
      <c r="L33" s="4">
        <v>2.5750000000000002</v>
      </c>
      <c r="M33" s="4">
        <v>2.5750000000000002</v>
      </c>
      <c r="N33" s="4">
        <v>2.5750000000000002</v>
      </c>
      <c r="O33" s="4">
        <v>2.5750000000000002</v>
      </c>
      <c r="P33" s="4">
        <v>0</v>
      </c>
      <c r="Q33" s="3" t="s">
        <v>26</v>
      </c>
      <c r="R33" s="3">
        <v>0</v>
      </c>
      <c r="S33" s="3" t="s">
        <v>124</v>
      </c>
      <c r="T33" s="3" t="s">
        <v>285</v>
      </c>
      <c r="U33" s="3">
        <v>0</v>
      </c>
      <c r="V33" s="3">
        <v>7</v>
      </c>
      <c r="W33" s="3">
        <v>50</v>
      </c>
    </row>
    <row r="34" spans="1:23" ht="11.25" customHeight="1" x14ac:dyDescent="0.3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37</v>
      </c>
      <c r="I34" s="6">
        <v>44682</v>
      </c>
      <c r="J34" s="4">
        <v>0</v>
      </c>
      <c r="K34" s="4">
        <v>0</v>
      </c>
      <c r="L34" s="4">
        <v>2.5649999999999999</v>
      </c>
      <c r="M34" s="4">
        <v>2.5649999999999999</v>
      </c>
      <c r="N34" s="4">
        <v>2.5649999999999999</v>
      </c>
      <c r="O34" s="4">
        <v>2.5649999999999999</v>
      </c>
      <c r="P34" s="4">
        <v>0</v>
      </c>
      <c r="Q34" s="3" t="s">
        <v>26</v>
      </c>
      <c r="R34" s="3">
        <v>0</v>
      </c>
      <c r="S34" s="3" t="s">
        <v>125</v>
      </c>
      <c r="T34" s="3" t="s">
        <v>286</v>
      </c>
      <c r="U34" s="3">
        <v>0</v>
      </c>
      <c r="V34" s="3">
        <v>7</v>
      </c>
      <c r="W34" s="3">
        <v>50</v>
      </c>
    </row>
    <row r="35" spans="1:23" ht="11.25" customHeight="1" x14ac:dyDescent="0.3">
      <c r="A35" s="3" t="s">
        <v>21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37</v>
      </c>
      <c r="I35" s="6">
        <v>44713</v>
      </c>
      <c r="J35" s="4">
        <v>0</v>
      </c>
      <c r="K35" s="4">
        <v>0</v>
      </c>
      <c r="L35" s="4">
        <v>2.3119999999999998</v>
      </c>
      <c r="M35" s="4">
        <v>2.3119999999999998</v>
      </c>
      <c r="N35" s="4">
        <v>2.3119999999999998</v>
      </c>
      <c r="O35" s="4">
        <v>2.3119999999999998</v>
      </c>
      <c r="P35" s="4">
        <v>0</v>
      </c>
      <c r="Q35" s="3" t="s">
        <v>26</v>
      </c>
      <c r="R35" s="3">
        <v>0</v>
      </c>
      <c r="S35" s="3" t="s">
        <v>126</v>
      </c>
      <c r="T35" s="3" t="s">
        <v>287</v>
      </c>
      <c r="U35" s="3">
        <v>0</v>
      </c>
      <c r="V35" s="3">
        <v>7</v>
      </c>
      <c r="W35" s="3">
        <v>50</v>
      </c>
    </row>
    <row r="36" spans="1:23" ht="11.25" customHeight="1" x14ac:dyDescent="0.3">
      <c r="A36" s="3" t="s">
        <v>21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37</v>
      </c>
      <c r="I36" s="6">
        <v>44743</v>
      </c>
      <c r="J36" s="4">
        <v>0</v>
      </c>
      <c r="K36" s="4">
        <v>0</v>
      </c>
      <c r="L36" s="4">
        <v>2.4049999999999998</v>
      </c>
      <c r="M36" s="4">
        <v>2.4049999999999998</v>
      </c>
      <c r="N36" s="4">
        <v>2.4049999999999998</v>
      </c>
      <c r="O36" s="4">
        <v>2.4049999999999998</v>
      </c>
      <c r="P36" s="4">
        <v>0</v>
      </c>
      <c r="Q36" s="3" t="s">
        <v>26</v>
      </c>
      <c r="R36" s="3">
        <v>0</v>
      </c>
      <c r="S36" s="3" t="s">
        <v>127</v>
      </c>
      <c r="T36" s="3" t="s">
        <v>288</v>
      </c>
      <c r="U36" s="3">
        <v>0</v>
      </c>
      <c r="V36" s="3">
        <v>7</v>
      </c>
      <c r="W36" s="3">
        <v>50</v>
      </c>
    </row>
    <row r="37" spans="1:23" ht="11.25" customHeight="1" x14ac:dyDescent="0.3">
      <c r="A37" s="3" t="s">
        <v>55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37</v>
      </c>
      <c r="I37" s="6">
        <v>44774</v>
      </c>
      <c r="J37" s="4">
        <v>0</v>
      </c>
      <c r="K37" s="4">
        <v>0</v>
      </c>
      <c r="L37" s="4">
        <v>2.4049999999999998</v>
      </c>
      <c r="M37" s="4">
        <v>2.4049999999999998</v>
      </c>
      <c r="N37" s="4">
        <v>2.4049999999999998</v>
      </c>
      <c r="O37" s="4">
        <v>2.4049999999999998</v>
      </c>
      <c r="P37" s="4">
        <v>0</v>
      </c>
      <c r="Q37" s="3" t="s">
        <v>26</v>
      </c>
      <c r="R37" s="3">
        <v>0</v>
      </c>
      <c r="S37" s="3" t="s">
        <v>128</v>
      </c>
      <c r="T37" s="3" t="s">
        <v>289</v>
      </c>
      <c r="U37" s="3">
        <v>0</v>
      </c>
      <c r="V37" s="3">
        <v>7</v>
      </c>
      <c r="W37" s="3">
        <v>50</v>
      </c>
    </row>
    <row r="38" spans="1:23" ht="11.25" customHeight="1" x14ac:dyDescent="0.3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44440</v>
      </c>
      <c r="J38" s="4">
        <v>0</v>
      </c>
      <c r="K38" s="4">
        <v>0</v>
      </c>
      <c r="L38" s="4">
        <v>1478.0909999999999</v>
      </c>
      <c r="M38" s="4">
        <v>1478.0909999999999</v>
      </c>
      <c r="N38" s="4">
        <v>1478.0909999999999</v>
      </c>
      <c r="O38" s="4">
        <v>1478.0909999999999</v>
      </c>
      <c r="P38" s="4">
        <v>0</v>
      </c>
      <c r="Q38" s="3" t="s">
        <v>26</v>
      </c>
      <c r="R38" s="3">
        <v>0</v>
      </c>
      <c r="S38" s="3" t="s">
        <v>93</v>
      </c>
      <c r="T38" s="3" t="s">
        <v>262</v>
      </c>
      <c r="U38" s="3">
        <v>0</v>
      </c>
      <c r="V38" s="3">
        <v>8</v>
      </c>
      <c r="W38" s="3">
        <v>51</v>
      </c>
    </row>
    <row r="39" spans="1:23" ht="11.25" customHeight="1" x14ac:dyDescent="0.3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44470</v>
      </c>
      <c r="J39" s="4">
        <v>0</v>
      </c>
      <c r="K39" s="4">
        <v>0</v>
      </c>
      <c r="L39" s="4">
        <v>1488.9290000000001</v>
      </c>
      <c r="M39" s="4">
        <v>1488.9290000000001</v>
      </c>
      <c r="N39" s="4">
        <v>1488.9290000000001</v>
      </c>
      <c r="O39" s="4">
        <v>1488.9290000000001</v>
      </c>
      <c r="P39" s="4">
        <v>0</v>
      </c>
      <c r="Q39" s="3" t="s">
        <v>26</v>
      </c>
      <c r="R39" s="3">
        <v>0</v>
      </c>
      <c r="S39" s="3" t="s">
        <v>94</v>
      </c>
      <c r="T39" s="3" t="s">
        <v>263</v>
      </c>
      <c r="U39" s="3">
        <v>0</v>
      </c>
      <c r="V39" s="3">
        <v>8</v>
      </c>
      <c r="W39" s="3">
        <v>51</v>
      </c>
    </row>
    <row r="40" spans="1:23" ht="11.25" customHeight="1" x14ac:dyDescent="0.3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44501</v>
      </c>
      <c r="J40" s="4">
        <v>0</v>
      </c>
      <c r="K40" s="4">
        <v>0</v>
      </c>
      <c r="L40" s="4">
        <v>1523.521</v>
      </c>
      <c r="M40" s="4">
        <v>1523.521</v>
      </c>
      <c r="N40" s="4">
        <v>1523.521</v>
      </c>
      <c r="O40" s="4">
        <v>1523.521</v>
      </c>
      <c r="P40" s="4">
        <v>0</v>
      </c>
      <c r="Q40" s="3" t="s">
        <v>26</v>
      </c>
      <c r="R40" s="3">
        <v>0</v>
      </c>
      <c r="S40" s="3" t="s">
        <v>95</v>
      </c>
      <c r="T40" s="3" t="s">
        <v>264</v>
      </c>
      <c r="U40" s="3">
        <v>0</v>
      </c>
      <c r="V40" s="3">
        <v>8</v>
      </c>
      <c r="W40" s="3">
        <v>51</v>
      </c>
    </row>
    <row r="41" spans="1:23" ht="11.25" customHeight="1" x14ac:dyDescent="0.3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44531</v>
      </c>
      <c r="J41" s="4">
        <v>0</v>
      </c>
      <c r="K41" s="4">
        <v>0</v>
      </c>
      <c r="L41" s="4">
        <v>1590.2850000000001</v>
      </c>
      <c r="M41" s="4">
        <v>1590.2850000000001</v>
      </c>
      <c r="N41" s="4">
        <v>1590.2850000000001</v>
      </c>
      <c r="O41" s="4">
        <v>1590.2850000000001</v>
      </c>
      <c r="P41" s="4">
        <v>0</v>
      </c>
      <c r="Q41" s="3" t="s">
        <v>26</v>
      </c>
      <c r="R41" s="3">
        <v>0</v>
      </c>
      <c r="S41" s="3" t="s">
        <v>96</v>
      </c>
      <c r="T41" s="3" t="s">
        <v>265</v>
      </c>
      <c r="U41" s="3">
        <v>0</v>
      </c>
      <c r="V41" s="3">
        <v>8</v>
      </c>
      <c r="W41" s="3">
        <v>51</v>
      </c>
    </row>
    <row r="42" spans="1:23" ht="11.25" customHeight="1" x14ac:dyDescent="0.3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44562</v>
      </c>
      <c r="J42" s="4">
        <v>0</v>
      </c>
      <c r="K42" s="4">
        <v>0</v>
      </c>
      <c r="L42" s="4">
        <v>1705.3030000000001</v>
      </c>
      <c r="M42" s="4">
        <v>1705.3030000000001</v>
      </c>
      <c r="N42" s="4">
        <v>1705.3030000000001</v>
      </c>
      <c r="O42" s="4">
        <v>1705.3030000000001</v>
      </c>
      <c r="P42" s="4">
        <v>0</v>
      </c>
      <c r="Q42" s="3" t="s">
        <v>26</v>
      </c>
      <c r="R42" s="3">
        <v>0</v>
      </c>
      <c r="S42" s="3" t="s">
        <v>97</v>
      </c>
      <c r="T42" s="3" t="s">
        <v>266</v>
      </c>
      <c r="U42" s="3">
        <v>0</v>
      </c>
      <c r="V42" s="3">
        <v>8</v>
      </c>
      <c r="W42" s="3">
        <v>51</v>
      </c>
    </row>
    <row r="43" spans="1:23" ht="11.25" customHeight="1" x14ac:dyDescent="0.3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38</v>
      </c>
      <c r="I43" s="6">
        <v>44593</v>
      </c>
      <c r="J43" s="4">
        <v>0</v>
      </c>
      <c r="K43" s="4">
        <v>0</v>
      </c>
      <c r="L43" s="4">
        <v>1972.8689999999999</v>
      </c>
      <c r="M43" s="4">
        <v>1972.8689999999999</v>
      </c>
      <c r="N43" s="4">
        <v>1972.8689999999999</v>
      </c>
      <c r="O43" s="4">
        <v>1972.8689999999999</v>
      </c>
      <c r="P43" s="4">
        <v>0</v>
      </c>
      <c r="Q43" s="3" t="s">
        <v>26</v>
      </c>
      <c r="R43" s="3">
        <v>0</v>
      </c>
      <c r="S43" s="3" t="s">
        <v>98</v>
      </c>
      <c r="T43" s="3" t="s">
        <v>267</v>
      </c>
      <c r="U43" s="3">
        <v>0</v>
      </c>
      <c r="V43" s="3">
        <v>8</v>
      </c>
      <c r="W43" s="3">
        <v>51</v>
      </c>
    </row>
    <row r="44" spans="1:23" ht="11.25" customHeight="1" x14ac:dyDescent="0.3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38</v>
      </c>
      <c r="I44" s="6">
        <v>44621</v>
      </c>
      <c r="J44" s="4">
        <v>0</v>
      </c>
      <c r="K44" s="4">
        <v>0</v>
      </c>
      <c r="L44" s="4">
        <v>2710.4949999999999</v>
      </c>
      <c r="M44" s="4">
        <v>2710.4949999999999</v>
      </c>
      <c r="N44" s="4">
        <v>2710.4949999999999</v>
      </c>
      <c r="O44" s="4">
        <v>2710.4949999999999</v>
      </c>
      <c r="P44" s="4">
        <v>0</v>
      </c>
      <c r="Q44" s="3" t="s">
        <v>26</v>
      </c>
      <c r="R44" s="3">
        <v>0</v>
      </c>
      <c r="S44" s="3" t="s">
        <v>99</v>
      </c>
      <c r="T44" s="3" t="s">
        <v>268</v>
      </c>
      <c r="U44" s="3">
        <v>0</v>
      </c>
      <c r="V44" s="3">
        <v>8</v>
      </c>
      <c r="W44" s="3">
        <v>51</v>
      </c>
    </row>
    <row r="45" spans="1:23" ht="11.25" customHeight="1" x14ac:dyDescent="0.3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38</v>
      </c>
      <c r="I45" s="6">
        <v>44652</v>
      </c>
      <c r="J45" s="4">
        <v>0</v>
      </c>
      <c r="K45" s="4">
        <v>0</v>
      </c>
      <c r="L45" s="4">
        <v>2332.5039999999999</v>
      </c>
      <c r="M45" s="4">
        <v>2332.5039999999999</v>
      </c>
      <c r="N45" s="4">
        <v>2332.5039999999999</v>
      </c>
      <c r="O45" s="4">
        <v>2332.5039999999999</v>
      </c>
      <c r="P45" s="4">
        <v>0</v>
      </c>
      <c r="Q45" s="3" t="s">
        <v>26</v>
      </c>
      <c r="R45" s="3">
        <v>0</v>
      </c>
      <c r="S45" s="3" t="s">
        <v>100</v>
      </c>
      <c r="T45" s="3" t="s">
        <v>269</v>
      </c>
      <c r="U45" s="3">
        <v>0</v>
      </c>
      <c r="V45" s="3">
        <v>8</v>
      </c>
      <c r="W45" s="3">
        <v>51</v>
      </c>
    </row>
    <row r="46" spans="1:23" ht="11.25" customHeight="1" x14ac:dyDescent="0.3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38</v>
      </c>
      <c r="I46" s="6">
        <v>44682</v>
      </c>
      <c r="J46" s="4">
        <v>0</v>
      </c>
      <c r="K46" s="4">
        <v>0</v>
      </c>
      <c r="L46" s="4">
        <v>2264.5300000000002</v>
      </c>
      <c r="M46" s="4">
        <v>2264.5300000000002</v>
      </c>
      <c r="N46" s="4">
        <v>2264.5300000000002</v>
      </c>
      <c r="O46" s="4">
        <v>2264.5300000000002</v>
      </c>
      <c r="P46" s="4">
        <v>0</v>
      </c>
      <c r="Q46" s="3" t="s">
        <v>26</v>
      </c>
      <c r="R46" s="3">
        <v>0</v>
      </c>
      <c r="S46" s="3" t="s">
        <v>101</v>
      </c>
      <c r="T46" s="3" t="s">
        <v>270</v>
      </c>
      <c r="U46" s="3">
        <v>0</v>
      </c>
      <c r="V46" s="3">
        <v>8</v>
      </c>
      <c r="W46" s="3">
        <v>51</v>
      </c>
    </row>
    <row r="47" spans="1:23" ht="11.25" customHeight="1" x14ac:dyDescent="0.3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38</v>
      </c>
      <c r="I47" s="6">
        <v>44713</v>
      </c>
      <c r="J47" s="4">
        <v>0</v>
      </c>
      <c r="K47" s="4">
        <v>0</v>
      </c>
      <c r="L47" s="4">
        <v>2038.23</v>
      </c>
      <c r="M47" s="4">
        <v>2038.23</v>
      </c>
      <c r="N47" s="4">
        <v>2038.23</v>
      </c>
      <c r="O47" s="4">
        <v>2038.23</v>
      </c>
      <c r="P47" s="4">
        <v>0</v>
      </c>
      <c r="Q47" s="3" t="s">
        <v>26</v>
      </c>
      <c r="R47" s="3">
        <v>0</v>
      </c>
      <c r="S47" s="3" t="s">
        <v>102</v>
      </c>
      <c r="T47" s="3" t="s">
        <v>271</v>
      </c>
      <c r="U47" s="3">
        <v>0</v>
      </c>
      <c r="V47" s="3">
        <v>8</v>
      </c>
      <c r="W47" s="3">
        <v>51</v>
      </c>
    </row>
    <row r="48" spans="1:23" ht="11.25" customHeight="1" x14ac:dyDescent="0.3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38</v>
      </c>
      <c r="I48" s="6">
        <v>44743</v>
      </c>
      <c r="J48" s="4">
        <v>0</v>
      </c>
      <c r="K48" s="4">
        <v>0</v>
      </c>
      <c r="L48" s="4">
        <v>1986.702</v>
      </c>
      <c r="M48" s="4">
        <v>1986.702</v>
      </c>
      <c r="N48" s="4">
        <v>1986.702</v>
      </c>
      <c r="O48" s="4">
        <v>1986.702</v>
      </c>
      <c r="P48" s="4">
        <v>0</v>
      </c>
      <c r="Q48" s="3" t="s">
        <v>26</v>
      </c>
      <c r="R48" s="3">
        <v>0</v>
      </c>
      <c r="S48" s="3" t="s">
        <v>103</v>
      </c>
      <c r="T48" s="3" t="s">
        <v>272</v>
      </c>
      <c r="U48" s="3">
        <v>0</v>
      </c>
      <c r="V48" s="3">
        <v>8</v>
      </c>
      <c r="W48" s="3">
        <v>51</v>
      </c>
    </row>
    <row r="49" spans="1:23" ht="11.25" customHeight="1" x14ac:dyDescent="0.3">
      <c r="A49" s="3" t="s">
        <v>55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38</v>
      </c>
      <c r="I49" s="6">
        <v>44774</v>
      </c>
      <c r="J49" s="4">
        <v>0</v>
      </c>
      <c r="K49" s="4">
        <v>0</v>
      </c>
      <c r="L49" s="4">
        <v>1986.702</v>
      </c>
      <c r="M49" s="4">
        <v>1986.702</v>
      </c>
      <c r="N49" s="4">
        <v>1986.702</v>
      </c>
      <c r="O49" s="4">
        <v>1986.702</v>
      </c>
      <c r="P49" s="4">
        <v>0</v>
      </c>
      <c r="Q49" s="3" t="s">
        <v>26</v>
      </c>
      <c r="R49" s="3">
        <v>0</v>
      </c>
      <c r="S49" s="3" t="s">
        <v>104</v>
      </c>
      <c r="T49" s="3" t="s">
        <v>273</v>
      </c>
      <c r="U49" s="3">
        <v>0</v>
      </c>
      <c r="V49" s="3">
        <v>8</v>
      </c>
      <c r="W49" s="3">
        <v>51</v>
      </c>
    </row>
    <row r="50" spans="1:23" ht="11.25" customHeight="1" x14ac:dyDescent="0.3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25</v>
      </c>
      <c r="G50" s="3" t="s">
        <v>25</v>
      </c>
      <c r="H50" s="3" t="s">
        <v>25</v>
      </c>
      <c r="I50" s="6">
        <v>44440</v>
      </c>
      <c r="J50" s="4">
        <v>5380</v>
      </c>
      <c r="K50" s="4">
        <v>5380</v>
      </c>
      <c r="L50" s="4">
        <v>0</v>
      </c>
      <c r="M50" s="4">
        <v>0</v>
      </c>
      <c r="N50" s="4">
        <v>0</v>
      </c>
      <c r="O50" s="4">
        <v>0</v>
      </c>
      <c r="P50" s="4">
        <v>14</v>
      </c>
      <c r="Q50" s="3" t="s">
        <v>26</v>
      </c>
      <c r="R50" s="3">
        <v>0</v>
      </c>
      <c r="S50" s="3" t="s">
        <v>105</v>
      </c>
      <c r="U50" s="3">
        <v>6</v>
      </c>
      <c r="V50" s="3">
        <v>0</v>
      </c>
      <c r="W50" s="3">
        <v>0</v>
      </c>
    </row>
    <row r="51" spans="1:23" ht="11.25" customHeight="1" x14ac:dyDescent="0.3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25</v>
      </c>
      <c r="G51" s="3" t="s">
        <v>25</v>
      </c>
      <c r="H51" s="3" t="s">
        <v>25</v>
      </c>
      <c r="I51" s="6">
        <v>44470</v>
      </c>
      <c r="J51" s="4">
        <v>5166</v>
      </c>
      <c r="K51" s="4">
        <v>5166</v>
      </c>
      <c r="L51" s="4">
        <v>0</v>
      </c>
      <c r="M51" s="4">
        <v>0</v>
      </c>
      <c r="N51" s="4">
        <v>0</v>
      </c>
      <c r="O51" s="4">
        <v>0</v>
      </c>
      <c r="P51" s="4">
        <v>14</v>
      </c>
      <c r="Q51" s="3" t="s">
        <v>26</v>
      </c>
      <c r="R51" s="3">
        <v>0</v>
      </c>
      <c r="S51" s="3" t="s">
        <v>106</v>
      </c>
      <c r="U51" s="3">
        <v>6</v>
      </c>
      <c r="V51" s="3">
        <v>0</v>
      </c>
      <c r="W51" s="3">
        <v>0</v>
      </c>
    </row>
    <row r="52" spans="1:23" ht="11.25" customHeight="1" x14ac:dyDescent="0.3">
      <c r="A52" s="3" t="s">
        <v>21</v>
      </c>
      <c r="B52" s="3" t="s">
        <v>35</v>
      </c>
      <c r="C52" s="3" t="s">
        <v>36</v>
      </c>
      <c r="D52" s="3" t="s">
        <v>34</v>
      </c>
      <c r="E52" s="3" t="s">
        <v>25</v>
      </c>
      <c r="F52" s="3" t="s">
        <v>25</v>
      </c>
      <c r="G52" s="3" t="s">
        <v>25</v>
      </c>
      <c r="H52" s="3" t="s">
        <v>25</v>
      </c>
      <c r="I52" s="6">
        <v>44501</v>
      </c>
      <c r="J52" s="4">
        <v>5399</v>
      </c>
      <c r="K52" s="4">
        <v>5399</v>
      </c>
      <c r="L52" s="4">
        <v>0</v>
      </c>
      <c r="M52" s="4">
        <v>0</v>
      </c>
      <c r="N52" s="4">
        <v>0</v>
      </c>
      <c r="O52" s="4">
        <v>0</v>
      </c>
      <c r="P52" s="4">
        <v>14</v>
      </c>
      <c r="Q52" s="3" t="s">
        <v>26</v>
      </c>
      <c r="R52" s="3">
        <v>0</v>
      </c>
      <c r="S52" s="3" t="s">
        <v>107</v>
      </c>
      <c r="U52" s="3">
        <v>6</v>
      </c>
      <c r="V52" s="3">
        <v>0</v>
      </c>
      <c r="W52" s="3">
        <v>0</v>
      </c>
    </row>
    <row r="53" spans="1:23" ht="11.25" customHeight="1" x14ac:dyDescent="0.3">
      <c r="A53" s="3" t="s">
        <v>21</v>
      </c>
      <c r="B53" s="3" t="s">
        <v>35</v>
      </c>
      <c r="C53" s="3" t="s">
        <v>36</v>
      </c>
      <c r="D53" s="3" t="s">
        <v>34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44531</v>
      </c>
      <c r="J53" s="4">
        <v>4940</v>
      </c>
      <c r="K53" s="4">
        <v>4940</v>
      </c>
      <c r="L53" s="4">
        <v>0</v>
      </c>
      <c r="M53" s="4">
        <v>0</v>
      </c>
      <c r="N53" s="4">
        <v>0</v>
      </c>
      <c r="O53" s="4">
        <v>0</v>
      </c>
      <c r="P53" s="4">
        <v>14</v>
      </c>
      <c r="Q53" s="3" t="s">
        <v>26</v>
      </c>
      <c r="R53" s="3">
        <v>0</v>
      </c>
      <c r="S53" s="3" t="s">
        <v>108</v>
      </c>
      <c r="U53" s="3">
        <v>6</v>
      </c>
      <c r="V53" s="3">
        <v>0</v>
      </c>
      <c r="W53" s="3">
        <v>0</v>
      </c>
    </row>
    <row r="54" spans="1:23" ht="11.25" customHeight="1" x14ac:dyDescent="0.3">
      <c r="A54" s="3" t="s">
        <v>21</v>
      </c>
      <c r="B54" s="3" t="s">
        <v>35</v>
      </c>
      <c r="C54" s="3" t="s">
        <v>36</v>
      </c>
      <c r="D54" s="3" t="s">
        <v>34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44562</v>
      </c>
      <c r="J54" s="4">
        <v>5258</v>
      </c>
      <c r="K54" s="4">
        <v>5258</v>
      </c>
      <c r="L54" s="4">
        <v>0</v>
      </c>
      <c r="M54" s="4">
        <v>0</v>
      </c>
      <c r="N54" s="4">
        <v>0</v>
      </c>
      <c r="O54" s="4">
        <v>0</v>
      </c>
      <c r="P54" s="4">
        <v>14</v>
      </c>
      <c r="Q54" s="3" t="s">
        <v>26</v>
      </c>
      <c r="R54" s="3">
        <v>0</v>
      </c>
      <c r="S54" s="3" t="s">
        <v>109</v>
      </c>
      <c r="U54" s="3">
        <v>6</v>
      </c>
      <c r="V54" s="3">
        <v>0</v>
      </c>
      <c r="W54" s="3">
        <v>0</v>
      </c>
    </row>
    <row r="55" spans="1:23" ht="11.25" customHeight="1" x14ac:dyDescent="0.3">
      <c r="A55" s="3" t="s">
        <v>21</v>
      </c>
      <c r="B55" s="3" t="s">
        <v>35</v>
      </c>
      <c r="C55" s="3" t="s">
        <v>36</v>
      </c>
      <c r="D55" s="3" t="s">
        <v>34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44593</v>
      </c>
      <c r="J55" s="4">
        <v>5734</v>
      </c>
      <c r="K55" s="4">
        <v>5734</v>
      </c>
      <c r="L55" s="4">
        <v>0</v>
      </c>
      <c r="M55" s="4">
        <v>0</v>
      </c>
      <c r="N55" s="4">
        <v>0</v>
      </c>
      <c r="O55" s="4">
        <v>0</v>
      </c>
      <c r="P55" s="4">
        <v>14</v>
      </c>
      <c r="Q55" s="3" t="s">
        <v>26</v>
      </c>
      <c r="R55" s="3">
        <v>0</v>
      </c>
      <c r="S55" s="3" t="s">
        <v>110</v>
      </c>
      <c r="U55" s="3">
        <v>6</v>
      </c>
      <c r="V55" s="3">
        <v>0</v>
      </c>
      <c r="W55" s="3">
        <v>0</v>
      </c>
    </row>
    <row r="56" spans="1:23" ht="11.25" customHeight="1" x14ac:dyDescent="0.3">
      <c r="A56" s="3" t="s">
        <v>21</v>
      </c>
      <c r="B56" s="3" t="s">
        <v>35</v>
      </c>
      <c r="C56" s="3" t="s">
        <v>36</v>
      </c>
      <c r="D56" s="3" t="s">
        <v>34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44621</v>
      </c>
      <c r="J56" s="4">
        <v>6418</v>
      </c>
      <c r="K56" s="4">
        <v>6418</v>
      </c>
      <c r="L56" s="4">
        <v>0</v>
      </c>
      <c r="M56" s="4">
        <v>0</v>
      </c>
      <c r="N56" s="4">
        <v>0</v>
      </c>
      <c r="O56" s="4">
        <v>0</v>
      </c>
      <c r="P56" s="4">
        <v>15</v>
      </c>
      <c r="Q56" s="3" t="s">
        <v>26</v>
      </c>
      <c r="R56" s="3">
        <v>0</v>
      </c>
      <c r="S56" s="3" t="s">
        <v>111</v>
      </c>
      <c r="U56" s="3">
        <v>6</v>
      </c>
      <c r="V56" s="3">
        <v>0</v>
      </c>
      <c r="W56" s="3">
        <v>0</v>
      </c>
    </row>
    <row r="57" spans="1:23" ht="11.25" customHeight="1" x14ac:dyDescent="0.3">
      <c r="A57" s="3" t="s">
        <v>21</v>
      </c>
      <c r="B57" s="3" t="s">
        <v>35</v>
      </c>
      <c r="C57" s="3" t="s">
        <v>36</v>
      </c>
      <c r="D57" s="3" t="s">
        <v>34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44652</v>
      </c>
      <c r="J57" s="4">
        <v>6820</v>
      </c>
      <c r="K57" s="4">
        <v>6820</v>
      </c>
      <c r="L57" s="4">
        <v>0</v>
      </c>
      <c r="M57" s="4">
        <v>0</v>
      </c>
      <c r="N57" s="4">
        <v>0</v>
      </c>
      <c r="O57" s="4">
        <v>0</v>
      </c>
      <c r="P57" s="4">
        <v>15</v>
      </c>
      <c r="Q57" s="3" t="s">
        <v>26</v>
      </c>
      <c r="R57" s="3">
        <v>0</v>
      </c>
      <c r="S57" s="3" t="s">
        <v>112</v>
      </c>
      <c r="U57" s="3">
        <v>6</v>
      </c>
      <c r="V57" s="3">
        <v>0</v>
      </c>
      <c r="W57" s="3">
        <v>0</v>
      </c>
    </row>
    <row r="58" spans="1:23" ht="11.25" customHeight="1" x14ac:dyDescent="0.3">
      <c r="A58" s="3" t="s">
        <v>21</v>
      </c>
      <c r="B58" s="3" t="s">
        <v>35</v>
      </c>
      <c r="C58" s="3" t="s">
        <v>36</v>
      </c>
      <c r="D58" s="3" t="s">
        <v>34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44682</v>
      </c>
      <c r="J58" s="4">
        <v>6762</v>
      </c>
      <c r="K58" s="4">
        <v>6762</v>
      </c>
      <c r="L58" s="4">
        <v>0</v>
      </c>
      <c r="M58" s="4">
        <v>0</v>
      </c>
      <c r="N58" s="4">
        <v>0</v>
      </c>
      <c r="O58" s="4">
        <v>0</v>
      </c>
      <c r="P58" s="4">
        <v>16</v>
      </c>
      <c r="Q58" s="3" t="s">
        <v>26</v>
      </c>
      <c r="R58" s="3">
        <v>0</v>
      </c>
      <c r="S58" s="3" t="s">
        <v>113</v>
      </c>
      <c r="U58" s="3">
        <v>6</v>
      </c>
      <c r="V58" s="3">
        <v>0</v>
      </c>
      <c r="W58" s="3">
        <v>0</v>
      </c>
    </row>
    <row r="59" spans="1:23" ht="11.25" customHeight="1" x14ac:dyDescent="0.3">
      <c r="A59" s="3" t="s">
        <v>21</v>
      </c>
      <c r="B59" s="3" t="s">
        <v>35</v>
      </c>
      <c r="C59" s="3" t="s">
        <v>36</v>
      </c>
      <c r="D59" s="3" t="s">
        <v>34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44713</v>
      </c>
      <c r="J59" s="4">
        <v>6754</v>
      </c>
      <c r="K59" s="4">
        <v>6754</v>
      </c>
      <c r="L59" s="4">
        <v>0</v>
      </c>
      <c r="M59" s="4">
        <v>0</v>
      </c>
      <c r="N59" s="4">
        <v>0</v>
      </c>
      <c r="O59" s="4">
        <v>0</v>
      </c>
      <c r="P59" s="4">
        <v>16</v>
      </c>
      <c r="Q59" s="3" t="s">
        <v>26</v>
      </c>
      <c r="R59" s="3">
        <v>0</v>
      </c>
      <c r="S59" s="3" t="s">
        <v>114</v>
      </c>
      <c r="U59" s="3">
        <v>6</v>
      </c>
      <c r="V59" s="3">
        <v>0</v>
      </c>
      <c r="W59" s="3">
        <v>0</v>
      </c>
    </row>
    <row r="60" spans="1:23" ht="11.25" customHeight="1" x14ac:dyDescent="0.3">
      <c r="A60" s="3" t="s">
        <v>21</v>
      </c>
      <c r="B60" s="3" t="s">
        <v>35</v>
      </c>
      <c r="C60" s="3" t="s">
        <v>36</v>
      </c>
      <c r="D60" s="3" t="s">
        <v>34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44743</v>
      </c>
      <c r="J60" s="4">
        <v>6303</v>
      </c>
      <c r="K60" s="4">
        <v>6303</v>
      </c>
      <c r="L60" s="4">
        <v>0</v>
      </c>
      <c r="M60" s="4">
        <v>0</v>
      </c>
      <c r="N60" s="4">
        <v>0</v>
      </c>
      <c r="O60" s="4">
        <v>0</v>
      </c>
      <c r="P60" s="4">
        <v>16</v>
      </c>
      <c r="Q60" s="3" t="s">
        <v>26</v>
      </c>
      <c r="R60" s="3">
        <v>0</v>
      </c>
      <c r="S60" s="3" t="s">
        <v>115</v>
      </c>
      <c r="U60" s="3">
        <v>6</v>
      </c>
      <c r="V60" s="3">
        <v>0</v>
      </c>
      <c r="W60" s="3">
        <v>0</v>
      </c>
    </row>
    <row r="61" spans="1:23" ht="11.25" customHeight="1" x14ac:dyDescent="0.3">
      <c r="A61" s="3" t="s">
        <v>55</v>
      </c>
      <c r="B61" s="3" t="s">
        <v>35</v>
      </c>
      <c r="C61" s="3" t="s">
        <v>36</v>
      </c>
      <c r="D61" s="3" t="s">
        <v>34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44774</v>
      </c>
      <c r="J61" s="4">
        <v>6303</v>
      </c>
      <c r="K61" s="4">
        <v>6303</v>
      </c>
      <c r="L61" s="4">
        <v>0</v>
      </c>
      <c r="M61" s="4">
        <v>0</v>
      </c>
      <c r="N61" s="4">
        <v>0</v>
      </c>
      <c r="O61" s="4">
        <v>0</v>
      </c>
      <c r="P61" s="4">
        <v>16</v>
      </c>
      <c r="Q61" s="3" t="s">
        <v>26</v>
      </c>
      <c r="R61" s="3">
        <v>0</v>
      </c>
      <c r="S61" s="3" t="s">
        <v>116</v>
      </c>
      <c r="U61" s="3">
        <v>6</v>
      </c>
      <c r="V61" s="3">
        <v>0</v>
      </c>
      <c r="W61" s="3">
        <v>0</v>
      </c>
    </row>
    <row r="62" spans="1:23" ht="11.25" customHeight="1" x14ac:dyDescent="0.3">
      <c r="A62" s="3" t="s">
        <v>21</v>
      </c>
      <c r="B62" s="3" t="s">
        <v>35</v>
      </c>
      <c r="C62" s="3" t="s">
        <v>36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125.227</v>
      </c>
      <c r="M62" s="4">
        <v>125.227</v>
      </c>
      <c r="N62" s="4">
        <v>125.227</v>
      </c>
      <c r="O62" s="4">
        <v>125.227</v>
      </c>
      <c r="P62" s="4">
        <v>0</v>
      </c>
      <c r="Q62" s="3" t="s">
        <v>26</v>
      </c>
      <c r="R62" s="3">
        <v>0</v>
      </c>
      <c r="S62" s="3" t="s">
        <v>117</v>
      </c>
      <c r="T62" s="3" t="s">
        <v>278</v>
      </c>
      <c r="U62" s="3">
        <v>0</v>
      </c>
      <c r="V62" s="3">
        <v>7</v>
      </c>
      <c r="W62" s="3">
        <v>50</v>
      </c>
    </row>
    <row r="63" spans="1:23" ht="11.25" customHeight="1" x14ac:dyDescent="0.3">
      <c r="A63" s="3" t="s">
        <v>21</v>
      </c>
      <c r="B63" s="3" t="s">
        <v>35</v>
      </c>
      <c r="C63" s="3" t="s">
        <v>36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115.479</v>
      </c>
      <c r="M63" s="4">
        <v>115.479</v>
      </c>
      <c r="N63" s="4">
        <v>115.479</v>
      </c>
      <c r="O63" s="4">
        <v>115.479</v>
      </c>
      <c r="P63" s="4">
        <v>0</v>
      </c>
      <c r="Q63" s="3" t="s">
        <v>26</v>
      </c>
      <c r="R63" s="3">
        <v>0</v>
      </c>
      <c r="S63" s="3" t="s">
        <v>118</v>
      </c>
      <c r="T63" s="3" t="s">
        <v>279</v>
      </c>
      <c r="U63" s="3">
        <v>0</v>
      </c>
      <c r="V63" s="3">
        <v>7</v>
      </c>
      <c r="W63" s="3">
        <v>50</v>
      </c>
    </row>
    <row r="64" spans="1:23" ht="11.25" customHeight="1" x14ac:dyDescent="0.3">
      <c r="A64" s="3" t="s">
        <v>21</v>
      </c>
      <c r="B64" s="3" t="s">
        <v>35</v>
      </c>
      <c r="C64" s="3" t="s">
        <v>36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118.11499999999999</v>
      </c>
      <c r="M64" s="4">
        <v>118.11499999999999</v>
      </c>
      <c r="N64" s="4">
        <v>118.11499999999999</v>
      </c>
      <c r="O64" s="4">
        <v>118.11499999999999</v>
      </c>
      <c r="P64" s="4">
        <v>0</v>
      </c>
      <c r="Q64" s="3" t="s">
        <v>26</v>
      </c>
      <c r="R64" s="3">
        <v>0</v>
      </c>
      <c r="S64" s="3" t="s">
        <v>119</v>
      </c>
      <c r="T64" s="3" t="s">
        <v>280</v>
      </c>
      <c r="U64" s="3">
        <v>0</v>
      </c>
      <c r="V64" s="3">
        <v>7</v>
      </c>
      <c r="W64" s="3">
        <v>50</v>
      </c>
    </row>
    <row r="65" spans="1:23" ht="11.25" customHeight="1" x14ac:dyDescent="0.3">
      <c r="A65" s="3" t="s">
        <v>21</v>
      </c>
      <c r="B65" s="3" t="s">
        <v>35</v>
      </c>
      <c r="C65" s="3" t="s">
        <v>36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138.297</v>
      </c>
      <c r="M65" s="4">
        <v>138.297</v>
      </c>
      <c r="N65" s="4">
        <v>138.297</v>
      </c>
      <c r="O65" s="4">
        <v>138.297</v>
      </c>
      <c r="P65" s="4">
        <v>0</v>
      </c>
      <c r="Q65" s="3" t="s">
        <v>26</v>
      </c>
      <c r="R65" s="3">
        <v>0</v>
      </c>
      <c r="S65" s="3" t="s">
        <v>120</v>
      </c>
      <c r="T65" s="3" t="s">
        <v>281</v>
      </c>
      <c r="U65" s="3">
        <v>0</v>
      </c>
      <c r="V65" s="3">
        <v>7</v>
      </c>
      <c r="W65" s="3">
        <v>50</v>
      </c>
    </row>
    <row r="66" spans="1:23" ht="11.25" customHeight="1" x14ac:dyDescent="0.3">
      <c r="A66" s="3" t="s">
        <v>21</v>
      </c>
      <c r="B66" s="3" t="s">
        <v>35</v>
      </c>
      <c r="C66" s="3" t="s">
        <v>36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149.96299999999999</v>
      </c>
      <c r="M66" s="4">
        <v>149.96299999999999</v>
      </c>
      <c r="N66" s="4">
        <v>149.96299999999999</v>
      </c>
      <c r="O66" s="4">
        <v>149.96299999999999</v>
      </c>
      <c r="P66" s="4">
        <v>0</v>
      </c>
      <c r="Q66" s="3" t="s">
        <v>26</v>
      </c>
      <c r="R66" s="3">
        <v>0</v>
      </c>
      <c r="S66" s="3" t="s">
        <v>121</v>
      </c>
      <c r="T66" s="3" t="s">
        <v>282</v>
      </c>
      <c r="U66" s="3">
        <v>0</v>
      </c>
      <c r="V66" s="3">
        <v>7</v>
      </c>
      <c r="W66" s="3">
        <v>50</v>
      </c>
    </row>
    <row r="67" spans="1:23" ht="11.25" customHeight="1" x14ac:dyDescent="0.3">
      <c r="A67" s="3" t="s">
        <v>21</v>
      </c>
      <c r="B67" s="3" t="s">
        <v>35</v>
      </c>
      <c r="C67" s="3" t="s">
        <v>36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148.72</v>
      </c>
      <c r="M67" s="4">
        <v>148.72</v>
      </c>
      <c r="N67" s="4">
        <v>148.72</v>
      </c>
      <c r="O67" s="4">
        <v>148.72</v>
      </c>
      <c r="P67" s="4">
        <v>0</v>
      </c>
      <c r="Q67" s="3" t="s">
        <v>26</v>
      </c>
      <c r="R67" s="3">
        <v>0</v>
      </c>
      <c r="S67" s="3" t="s">
        <v>122</v>
      </c>
      <c r="T67" s="3" t="s">
        <v>283</v>
      </c>
      <c r="U67" s="3">
        <v>0</v>
      </c>
      <c r="V67" s="3">
        <v>7</v>
      </c>
      <c r="W67" s="3">
        <v>50</v>
      </c>
    </row>
    <row r="68" spans="1:23" ht="11.25" customHeight="1" x14ac:dyDescent="0.3">
      <c r="A68" s="3" t="s">
        <v>21</v>
      </c>
      <c r="B68" s="3" t="s">
        <v>35</v>
      </c>
      <c r="C68" s="3" t="s">
        <v>36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138.72399999999999</v>
      </c>
      <c r="M68" s="4">
        <v>138.72399999999999</v>
      </c>
      <c r="N68" s="4">
        <v>138.72399999999999</v>
      </c>
      <c r="O68" s="4">
        <v>138.72399999999999</v>
      </c>
      <c r="P68" s="4">
        <v>0</v>
      </c>
      <c r="Q68" s="3" t="s">
        <v>26</v>
      </c>
      <c r="R68" s="3">
        <v>0</v>
      </c>
      <c r="S68" s="3" t="s">
        <v>123</v>
      </c>
      <c r="T68" s="3" t="s">
        <v>284</v>
      </c>
      <c r="U68" s="3">
        <v>0</v>
      </c>
      <c r="V68" s="3">
        <v>7</v>
      </c>
      <c r="W68" s="3">
        <v>50</v>
      </c>
    </row>
    <row r="69" spans="1:23" ht="11.25" customHeight="1" x14ac:dyDescent="0.3">
      <c r="A69" s="3" t="s">
        <v>21</v>
      </c>
      <c r="B69" s="3" t="s">
        <v>35</v>
      </c>
      <c r="C69" s="3" t="s">
        <v>36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114.376</v>
      </c>
      <c r="M69" s="4">
        <v>114.376</v>
      </c>
      <c r="N69" s="4">
        <v>114.376</v>
      </c>
      <c r="O69" s="4">
        <v>114.376</v>
      </c>
      <c r="P69" s="4">
        <v>0</v>
      </c>
      <c r="Q69" s="3" t="s">
        <v>26</v>
      </c>
      <c r="R69" s="3">
        <v>0</v>
      </c>
      <c r="S69" s="3" t="s">
        <v>124</v>
      </c>
      <c r="T69" s="3" t="s">
        <v>285</v>
      </c>
      <c r="U69" s="3">
        <v>0</v>
      </c>
      <c r="V69" s="3">
        <v>7</v>
      </c>
      <c r="W69" s="3">
        <v>50</v>
      </c>
    </row>
    <row r="70" spans="1:23" ht="11.25" customHeight="1" x14ac:dyDescent="0.3">
      <c r="A70" s="3" t="s">
        <v>21</v>
      </c>
      <c r="B70" s="3" t="s">
        <v>35</v>
      </c>
      <c r="C70" s="3" t="s">
        <v>36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136.83500000000001</v>
      </c>
      <c r="M70" s="4">
        <v>136.83500000000001</v>
      </c>
      <c r="N70" s="4">
        <v>136.83500000000001</v>
      </c>
      <c r="O70" s="4">
        <v>136.83500000000001</v>
      </c>
      <c r="P70" s="4">
        <v>0</v>
      </c>
      <c r="Q70" s="3" t="s">
        <v>26</v>
      </c>
      <c r="R70" s="3">
        <v>0</v>
      </c>
      <c r="S70" s="3" t="s">
        <v>125</v>
      </c>
      <c r="T70" s="3" t="s">
        <v>286</v>
      </c>
      <c r="U70" s="3">
        <v>0</v>
      </c>
      <c r="V70" s="3">
        <v>7</v>
      </c>
      <c r="W70" s="3">
        <v>50</v>
      </c>
    </row>
    <row r="71" spans="1:23" ht="11.25" customHeight="1" x14ac:dyDescent="0.3">
      <c r="A71" s="3" t="s">
        <v>21</v>
      </c>
      <c r="B71" s="3" t="s">
        <v>35</v>
      </c>
      <c r="C71" s="3" t="s">
        <v>36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109.89700000000001</v>
      </c>
      <c r="M71" s="4">
        <v>109.89700000000001</v>
      </c>
      <c r="N71" s="4">
        <v>109.89700000000001</v>
      </c>
      <c r="O71" s="4">
        <v>109.89700000000001</v>
      </c>
      <c r="P71" s="4">
        <v>0</v>
      </c>
      <c r="Q71" s="3" t="s">
        <v>26</v>
      </c>
      <c r="R71" s="3">
        <v>0</v>
      </c>
      <c r="S71" s="3" t="s">
        <v>126</v>
      </c>
      <c r="T71" s="3" t="s">
        <v>287</v>
      </c>
      <c r="U71" s="3">
        <v>0</v>
      </c>
      <c r="V71" s="3">
        <v>7</v>
      </c>
      <c r="W71" s="3">
        <v>50</v>
      </c>
    </row>
    <row r="72" spans="1:23" ht="11.25" customHeight="1" x14ac:dyDescent="0.3">
      <c r="A72" s="3" t="s">
        <v>21</v>
      </c>
      <c r="B72" s="3" t="s">
        <v>35</v>
      </c>
      <c r="C72" s="3" t="s">
        <v>36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114.94499999999999</v>
      </c>
      <c r="M72" s="4">
        <v>114.94499999999999</v>
      </c>
      <c r="N72" s="4">
        <v>114.94499999999999</v>
      </c>
      <c r="O72" s="4">
        <v>114.94499999999999</v>
      </c>
      <c r="P72" s="4">
        <v>0</v>
      </c>
      <c r="Q72" s="3" t="s">
        <v>26</v>
      </c>
      <c r="R72" s="3">
        <v>0</v>
      </c>
      <c r="S72" s="3" t="s">
        <v>127</v>
      </c>
      <c r="T72" s="3" t="s">
        <v>288</v>
      </c>
      <c r="U72" s="3">
        <v>0</v>
      </c>
      <c r="V72" s="3">
        <v>7</v>
      </c>
      <c r="W72" s="3">
        <v>50</v>
      </c>
    </row>
    <row r="73" spans="1:23" ht="11.25" customHeight="1" x14ac:dyDescent="0.3">
      <c r="A73" s="3" t="s">
        <v>55</v>
      </c>
      <c r="B73" s="3" t="s">
        <v>35</v>
      </c>
      <c r="C73" s="3" t="s">
        <v>36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114.94499999999999</v>
      </c>
      <c r="M73" s="4">
        <v>114.94499999999999</v>
      </c>
      <c r="N73" s="4">
        <v>114.94499999999999</v>
      </c>
      <c r="O73" s="4">
        <v>114.94499999999999</v>
      </c>
      <c r="P73" s="4">
        <v>0</v>
      </c>
      <c r="Q73" s="3" t="s">
        <v>26</v>
      </c>
      <c r="R73" s="3">
        <v>0</v>
      </c>
      <c r="S73" s="3" t="s">
        <v>128</v>
      </c>
      <c r="T73" s="3" t="s">
        <v>289</v>
      </c>
      <c r="U73" s="3">
        <v>0</v>
      </c>
      <c r="V73" s="3">
        <v>7</v>
      </c>
      <c r="W73" s="3">
        <v>50</v>
      </c>
    </row>
    <row r="74" spans="1:23" ht="11.25" customHeight="1" x14ac:dyDescent="0.3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24</v>
      </c>
      <c r="F74" s="3" t="s">
        <v>25</v>
      </c>
      <c r="G74" s="3" t="s">
        <v>25</v>
      </c>
      <c r="H74" s="3" t="s">
        <v>25</v>
      </c>
      <c r="I74" s="6">
        <v>44440</v>
      </c>
      <c r="J74" s="4">
        <v>0</v>
      </c>
      <c r="K74" s="4">
        <v>0</v>
      </c>
      <c r="L74" s="4">
        <v>439.92200000000003</v>
      </c>
      <c r="M74" s="4">
        <v>439.92200000000003</v>
      </c>
      <c r="N74" s="4">
        <v>439.92200000000003</v>
      </c>
      <c r="O74" s="4">
        <v>439.92200000000003</v>
      </c>
      <c r="P74" s="4">
        <v>2828</v>
      </c>
      <c r="Q74" s="3" t="s">
        <v>26</v>
      </c>
      <c r="R74" s="3">
        <v>0</v>
      </c>
      <c r="S74" s="3" t="s">
        <v>129</v>
      </c>
      <c r="T74" s="3" t="s">
        <v>290</v>
      </c>
      <c r="U74" s="3">
        <v>0</v>
      </c>
      <c r="V74" s="3">
        <v>18</v>
      </c>
      <c r="W74" s="3">
        <v>56</v>
      </c>
    </row>
    <row r="75" spans="1:23" ht="11.25" customHeight="1" x14ac:dyDescent="0.3">
      <c r="A75" s="3" t="s">
        <v>27</v>
      </c>
      <c r="B75" s="3" t="s">
        <v>22</v>
      </c>
      <c r="C75" s="3" t="s">
        <v>23</v>
      </c>
      <c r="D75" s="3" t="s">
        <v>24</v>
      </c>
      <c r="E75" s="3" t="s">
        <v>24</v>
      </c>
      <c r="F75" s="3" t="s">
        <v>25</v>
      </c>
      <c r="G75" s="3" t="s">
        <v>25</v>
      </c>
      <c r="H75" s="3" t="s">
        <v>25</v>
      </c>
      <c r="I75" s="6">
        <v>44440</v>
      </c>
      <c r="J75" s="4">
        <v>0</v>
      </c>
      <c r="K75" s="4">
        <v>0</v>
      </c>
      <c r="L75" s="4">
        <v>-0.05</v>
      </c>
      <c r="M75" s="4">
        <v>-0.05</v>
      </c>
      <c r="N75" s="4">
        <v>-0.05</v>
      </c>
      <c r="O75" s="4">
        <v>-0.05</v>
      </c>
      <c r="P75" s="4">
        <v>0</v>
      </c>
      <c r="Q75" s="3" t="s">
        <v>26</v>
      </c>
      <c r="R75" s="3">
        <v>0</v>
      </c>
      <c r="S75" s="3" t="s">
        <v>129</v>
      </c>
      <c r="T75" s="3" t="s">
        <v>290</v>
      </c>
      <c r="U75" s="3">
        <v>0</v>
      </c>
      <c r="V75" s="3">
        <v>18</v>
      </c>
      <c r="W75" s="3">
        <v>56</v>
      </c>
    </row>
    <row r="76" spans="1:23" ht="11.25" customHeight="1" x14ac:dyDescent="0.3">
      <c r="A76" s="3" t="s">
        <v>28</v>
      </c>
      <c r="B76" s="3" t="s">
        <v>22</v>
      </c>
      <c r="C76" s="3" t="s">
        <v>23</v>
      </c>
      <c r="D76" s="3" t="s">
        <v>24</v>
      </c>
      <c r="E76" s="3" t="s">
        <v>24</v>
      </c>
      <c r="F76" s="3" t="s">
        <v>25</v>
      </c>
      <c r="G76" s="3" t="s">
        <v>25</v>
      </c>
      <c r="H76" s="3" t="s">
        <v>25</v>
      </c>
      <c r="I76" s="6">
        <v>44440</v>
      </c>
      <c r="J76" s="4">
        <v>0</v>
      </c>
      <c r="K76" s="4">
        <v>0</v>
      </c>
      <c r="L76" s="4">
        <v>1.4510000000000001</v>
      </c>
      <c r="M76" s="4">
        <v>1.4510000000000001</v>
      </c>
      <c r="N76" s="4">
        <v>1.4510000000000001</v>
      </c>
      <c r="O76" s="4">
        <v>1.4510000000000001</v>
      </c>
      <c r="P76" s="4">
        <v>15</v>
      </c>
      <c r="Q76" s="3" t="s">
        <v>26</v>
      </c>
      <c r="R76" s="3">
        <v>0</v>
      </c>
      <c r="S76" s="3" t="s">
        <v>129</v>
      </c>
      <c r="T76" s="3" t="s">
        <v>290</v>
      </c>
      <c r="U76" s="3">
        <v>0</v>
      </c>
      <c r="V76" s="3">
        <v>18</v>
      </c>
      <c r="W76" s="3">
        <v>56</v>
      </c>
    </row>
    <row r="77" spans="1:23" ht="11.25" customHeight="1" x14ac:dyDescent="0.3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24</v>
      </c>
      <c r="F77" s="3" t="s">
        <v>25</v>
      </c>
      <c r="G77" s="3" t="s">
        <v>25</v>
      </c>
      <c r="H77" s="3" t="s">
        <v>25</v>
      </c>
      <c r="I77" s="6">
        <v>44470</v>
      </c>
      <c r="J77" s="4">
        <v>0</v>
      </c>
      <c r="K77" s="4">
        <v>0</v>
      </c>
      <c r="L77" s="4">
        <v>455.92</v>
      </c>
      <c r="M77" s="4">
        <v>455.92</v>
      </c>
      <c r="N77" s="4">
        <v>455.92</v>
      </c>
      <c r="O77" s="4">
        <v>455.92</v>
      </c>
      <c r="P77" s="4">
        <v>2831</v>
      </c>
      <c r="Q77" s="3" t="s">
        <v>26</v>
      </c>
      <c r="R77" s="3">
        <v>0</v>
      </c>
      <c r="S77" s="3" t="s">
        <v>130</v>
      </c>
      <c r="T77" s="3" t="s">
        <v>291</v>
      </c>
      <c r="U77" s="3">
        <v>0</v>
      </c>
      <c r="V77" s="3">
        <v>18</v>
      </c>
      <c r="W77" s="3">
        <v>56</v>
      </c>
    </row>
    <row r="78" spans="1:23" ht="11.25" customHeight="1" x14ac:dyDescent="0.3">
      <c r="A78" s="3" t="s">
        <v>27</v>
      </c>
      <c r="B78" s="3" t="s">
        <v>22</v>
      </c>
      <c r="C78" s="3" t="s">
        <v>23</v>
      </c>
      <c r="D78" s="3" t="s">
        <v>24</v>
      </c>
      <c r="E78" s="3" t="s">
        <v>24</v>
      </c>
      <c r="F78" s="3" t="s">
        <v>25</v>
      </c>
      <c r="G78" s="3" t="s">
        <v>25</v>
      </c>
      <c r="H78" s="3" t="s">
        <v>25</v>
      </c>
      <c r="I78" s="6">
        <v>44470</v>
      </c>
      <c r="J78" s="4">
        <v>0</v>
      </c>
      <c r="K78" s="4">
        <v>0</v>
      </c>
      <c r="L78" s="4">
        <v>-1.002</v>
      </c>
      <c r="M78" s="4">
        <v>-1.002</v>
      </c>
      <c r="N78" s="4">
        <v>-1.002</v>
      </c>
      <c r="O78" s="4">
        <v>-1.002</v>
      </c>
      <c r="P78" s="4">
        <v>0</v>
      </c>
      <c r="Q78" s="3" t="s">
        <v>26</v>
      </c>
      <c r="R78" s="3">
        <v>0</v>
      </c>
      <c r="S78" s="3" t="s">
        <v>130</v>
      </c>
      <c r="T78" s="3" t="s">
        <v>291</v>
      </c>
      <c r="U78" s="3">
        <v>0</v>
      </c>
      <c r="V78" s="3">
        <v>18</v>
      </c>
      <c r="W78" s="3">
        <v>56</v>
      </c>
    </row>
    <row r="79" spans="1:23" ht="11.25" customHeight="1" x14ac:dyDescent="0.3">
      <c r="A79" s="3" t="s">
        <v>28</v>
      </c>
      <c r="B79" s="3" t="s">
        <v>22</v>
      </c>
      <c r="C79" s="3" t="s">
        <v>23</v>
      </c>
      <c r="D79" s="3" t="s">
        <v>24</v>
      </c>
      <c r="E79" s="3" t="s">
        <v>24</v>
      </c>
      <c r="F79" s="3" t="s">
        <v>25</v>
      </c>
      <c r="G79" s="3" t="s">
        <v>25</v>
      </c>
      <c r="H79" s="3" t="s">
        <v>25</v>
      </c>
      <c r="I79" s="6">
        <v>44470</v>
      </c>
      <c r="J79" s="4">
        <v>0</v>
      </c>
      <c r="K79" s="4">
        <v>0</v>
      </c>
      <c r="L79" s="4">
        <v>1.962</v>
      </c>
      <c r="M79" s="4">
        <v>1.962</v>
      </c>
      <c r="N79" s="4">
        <v>1.962</v>
      </c>
      <c r="O79" s="4">
        <v>1.962</v>
      </c>
      <c r="P79" s="4">
        <v>16</v>
      </c>
      <c r="Q79" s="3" t="s">
        <v>26</v>
      </c>
      <c r="R79" s="3">
        <v>0</v>
      </c>
      <c r="S79" s="3" t="s">
        <v>130</v>
      </c>
      <c r="T79" s="3" t="s">
        <v>291</v>
      </c>
      <c r="U79" s="3">
        <v>0</v>
      </c>
      <c r="V79" s="3">
        <v>18</v>
      </c>
      <c r="W79" s="3">
        <v>56</v>
      </c>
    </row>
    <row r="80" spans="1:23" ht="11.25" customHeight="1" x14ac:dyDescent="0.3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24</v>
      </c>
      <c r="F80" s="3" t="s">
        <v>25</v>
      </c>
      <c r="G80" s="3" t="s">
        <v>25</v>
      </c>
      <c r="H80" s="3" t="s">
        <v>25</v>
      </c>
      <c r="I80" s="6">
        <v>44501</v>
      </c>
      <c r="J80" s="4">
        <v>0</v>
      </c>
      <c r="K80" s="4">
        <v>0</v>
      </c>
      <c r="L80" s="4">
        <v>467.74700000000001</v>
      </c>
      <c r="M80" s="4">
        <v>467.74700000000001</v>
      </c>
      <c r="N80" s="4">
        <v>467.74700000000001</v>
      </c>
      <c r="O80" s="4">
        <v>467.74700000000001</v>
      </c>
      <c r="P80" s="4">
        <v>2835</v>
      </c>
      <c r="Q80" s="3" t="s">
        <v>26</v>
      </c>
      <c r="R80" s="3">
        <v>0</v>
      </c>
      <c r="S80" s="3" t="s">
        <v>131</v>
      </c>
      <c r="T80" s="3" t="s">
        <v>292</v>
      </c>
      <c r="U80" s="3">
        <v>0</v>
      </c>
      <c r="V80" s="3">
        <v>18</v>
      </c>
      <c r="W80" s="3">
        <v>56</v>
      </c>
    </row>
    <row r="81" spans="1:23" ht="11.25" customHeight="1" x14ac:dyDescent="0.3">
      <c r="A81" s="3" t="s">
        <v>27</v>
      </c>
      <c r="B81" s="3" t="s">
        <v>22</v>
      </c>
      <c r="C81" s="3" t="s">
        <v>23</v>
      </c>
      <c r="D81" s="3" t="s">
        <v>24</v>
      </c>
      <c r="E81" s="3" t="s">
        <v>24</v>
      </c>
      <c r="F81" s="3" t="s">
        <v>25</v>
      </c>
      <c r="G81" s="3" t="s">
        <v>25</v>
      </c>
      <c r="H81" s="3" t="s">
        <v>25</v>
      </c>
      <c r="I81" s="6">
        <v>44501</v>
      </c>
      <c r="J81" s="4">
        <v>0</v>
      </c>
      <c r="K81" s="4">
        <v>0</v>
      </c>
      <c r="L81" s="4">
        <v>-0.03</v>
      </c>
      <c r="M81" s="4">
        <v>-0.03</v>
      </c>
      <c r="N81" s="4">
        <v>-0.03</v>
      </c>
      <c r="O81" s="4">
        <v>-0.03</v>
      </c>
      <c r="P81" s="4">
        <v>0</v>
      </c>
      <c r="Q81" s="3" t="s">
        <v>26</v>
      </c>
      <c r="R81" s="3">
        <v>0</v>
      </c>
      <c r="S81" s="3" t="s">
        <v>131</v>
      </c>
      <c r="T81" s="3" t="s">
        <v>292</v>
      </c>
      <c r="U81" s="3">
        <v>0</v>
      </c>
      <c r="V81" s="3">
        <v>18</v>
      </c>
      <c r="W81" s="3">
        <v>56</v>
      </c>
    </row>
    <row r="82" spans="1:23" ht="11.25" customHeight="1" x14ac:dyDescent="0.3">
      <c r="A82" s="3" t="s">
        <v>28</v>
      </c>
      <c r="B82" s="3" t="s">
        <v>22</v>
      </c>
      <c r="C82" s="3" t="s">
        <v>23</v>
      </c>
      <c r="D82" s="3" t="s">
        <v>24</v>
      </c>
      <c r="E82" s="3" t="s">
        <v>24</v>
      </c>
      <c r="F82" s="3" t="s">
        <v>25</v>
      </c>
      <c r="G82" s="3" t="s">
        <v>25</v>
      </c>
      <c r="H82" s="3" t="s">
        <v>25</v>
      </c>
      <c r="I82" s="6">
        <v>44501</v>
      </c>
      <c r="J82" s="4">
        <v>0</v>
      </c>
      <c r="K82" s="4">
        <v>0</v>
      </c>
      <c r="L82" s="4">
        <v>2.274</v>
      </c>
      <c r="M82" s="4">
        <v>2.274</v>
      </c>
      <c r="N82" s="4">
        <v>2.274</v>
      </c>
      <c r="O82" s="4">
        <v>2.274</v>
      </c>
      <c r="P82" s="4">
        <v>18</v>
      </c>
      <c r="Q82" s="3" t="s">
        <v>26</v>
      </c>
      <c r="R82" s="3">
        <v>0</v>
      </c>
      <c r="S82" s="3" t="s">
        <v>131</v>
      </c>
      <c r="T82" s="3" t="s">
        <v>292</v>
      </c>
      <c r="U82" s="3">
        <v>0</v>
      </c>
      <c r="V82" s="3">
        <v>18</v>
      </c>
      <c r="W82" s="3">
        <v>56</v>
      </c>
    </row>
    <row r="83" spans="1:23" ht="11.25" customHeight="1" x14ac:dyDescent="0.3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24</v>
      </c>
      <c r="F83" s="3" t="s">
        <v>25</v>
      </c>
      <c r="G83" s="3" t="s">
        <v>25</v>
      </c>
      <c r="H83" s="3" t="s">
        <v>25</v>
      </c>
      <c r="I83" s="6">
        <v>44531</v>
      </c>
      <c r="J83" s="4">
        <v>0</v>
      </c>
      <c r="K83" s="4">
        <v>0</v>
      </c>
      <c r="L83" s="4">
        <v>469.399</v>
      </c>
      <c r="M83" s="4">
        <v>469.399</v>
      </c>
      <c r="N83" s="4">
        <v>469.399</v>
      </c>
      <c r="O83" s="4">
        <v>469.399</v>
      </c>
      <c r="P83" s="4">
        <v>2841</v>
      </c>
      <c r="Q83" s="3" t="s">
        <v>26</v>
      </c>
      <c r="R83" s="3">
        <v>0</v>
      </c>
      <c r="S83" s="3" t="s">
        <v>132</v>
      </c>
      <c r="T83" s="3" t="s">
        <v>293</v>
      </c>
      <c r="U83" s="3">
        <v>0</v>
      </c>
      <c r="V83" s="3">
        <v>18</v>
      </c>
      <c r="W83" s="3">
        <v>56</v>
      </c>
    </row>
    <row r="84" spans="1:23" ht="11.25" customHeight="1" x14ac:dyDescent="0.3">
      <c r="A84" s="3" t="s">
        <v>27</v>
      </c>
      <c r="B84" s="3" t="s">
        <v>22</v>
      </c>
      <c r="C84" s="3" t="s">
        <v>23</v>
      </c>
      <c r="D84" s="3" t="s">
        <v>24</v>
      </c>
      <c r="E84" s="3" t="s">
        <v>24</v>
      </c>
      <c r="F84" s="3" t="s">
        <v>25</v>
      </c>
      <c r="G84" s="3" t="s">
        <v>25</v>
      </c>
      <c r="H84" s="3" t="s">
        <v>25</v>
      </c>
      <c r="I84" s="6">
        <v>44531</v>
      </c>
      <c r="J84" s="4">
        <v>0</v>
      </c>
      <c r="K84" s="4">
        <v>0</v>
      </c>
      <c r="L84" s="4">
        <v>-0.377</v>
      </c>
      <c r="M84" s="4">
        <v>-0.377</v>
      </c>
      <c r="N84" s="4">
        <v>-0.377</v>
      </c>
      <c r="O84" s="4">
        <v>-0.377</v>
      </c>
      <c r="P84" s="4">
        <v>0</v>
      </c>
      <c r="Q84" s="3" t="s">
        <v>26</v>
      </c>
      <c r="R84" s="3">
        <v>0</v>
      </c>
      <c r="S84" s="3" t="s">
        <v>132</v>
      </c>
      <c r="T84" s="3" t="s">
        <v>293</v>
      </c>
      <c r="U84" s="3">
        <v>0</v>
      </c>
      <c r="V84" s="3">
        <v>18</v>
      </c>
      <c r="W84" s="3">
        <v>56</v>
      </c>
    </row>
    <row r="85" spans="1:23" ht="11.25" customHeight="1" x14ac:dyDescent="0.3">
      <c r="A85" s="3" t="s">
        <v>28</v>
      </c>
      <c r="B85" s="3" t="s">
        <v>22</v>
      </c>
      <c r="C85" s="3" t="s">
        <v>23</v>
      </c>
      <c r="D85" s="3" t="s">
        <v>24</v>
      </c>
      <c r="E85" s="3" t="s">
        <v>24</v>
      </c>
      <c r="F85" s="3" t="s">
        <v>25</v>
      </c>
      <c r="G85" s="3" t="s">
        <v>25</v>
      </c>
      <c r="H85" s="3" t="s">
        <v>25</v>
      </c>
      <c r="I85" s="6">
        <v>44531</v>
      </c>
      <c r="J85" s="4">
        <v>0</v>
      </c>
      <c r="K85" s="4">
        <v>0</v>
      </c>
      <c r="L85" s="4">
        <v>1.8580000000000001</v>
      </c>
      <c r="M85" s="4">
        <v>1.8580000000000001</v>
      </c>
      <c r="N85" s="4">
        <v>1.8580000000000001</v>
      </c>
      <c r="O85" s="4">
        <v>1.8580000000000001</v>
      </c>
      <c r="P85" s="4">
        <v>18</v>
      </c>
      <c r="Q85" s="3" t="s">
        <v>26</v>
      </c>
      <c r="R85" s="3">
        <v>0</v>
      </c>
      <c r="S85" s="3" t="s">
        <v>132</v>
      </c>
      <c r="T85" s="3" t="s">
        <v>293</v>
      </c>
      <c r="U85" s="3">
        <v>0</v>
      </c>
      <c r="V85" s="3">
        <v>18</v>
      </c>
      <c r="W85" s="3">
        <v>56</v>
      </c>
    </row>
    <row r="86" spans="1:23" ht="11.25" customHeight="1" x14ac:dyDescent="0.3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24</v>
      </c>
      <c r="F86" s="3" t="s">
        <v>25</v>
      </c>
      <c r="G86" s="3" t="s">
        <v>25</v>
      </c>
      <c r="H86" s="3" t="s">
        <v>25</v>
      </c>
      <c r="I86" s="6">
        <v>44562</v>
      </c>
      <c r="J86" s="4">
        <v>0</v>
      </c>
      <c r="K86" s="4">
        <v>0</v>
      </c>
      <c r="L86" s="4">
        <v>520.61</v>
      </c>
      <c r="M86" s="4">
        <v>520.61</v>
      </c>
      <c r="N86" s="4">
        <v>520.61</v>
      </c>
      <c r="O86" s="4">
        <v>520.61</v>
      </c>
      <c r="P86" s="4">
        <v>2846</v>
      </c>
      <c r="Q86" s="3" t="s">
        <v>26</v>
      </c>
      <c r="R86" s="3">
        <v>0</v>
      </c>
      <c r="S86" s="3" t="s">
        <v>133</v>
      </c>
      <c r="T86" s="3" t="s">
        <v>294</v>
      </c>
      <c r="U86" s="3">
        <v>0</v>
      </c>
      <c r="V86" s="3">
        <v>18</v>
      </c>
      <c r="W86" s="3">
        <v>56</v>
      </c>
    </row>
    <row r="87" spans="1:23" ht="11.25" customHeight="1" x14ac:dyDescent="0.3">
      <c r="A87" s="3" t="s">
        <v>28</v>
      </c>
      <c r="B87" s="3" t="s">
        <v>22</v>
      </c>
      <c r="C87" s="3" t="s">
        <v>23</v>
      </c>
      <c r="D87" s="3" t="s">
        <v>24</v>
      </c>
      <c r="E87" s="3" t="s">
        <v>24</v>
      </c>
      <c r="F87" s="3" t="s">
        <v>25</v>
      </c>
      <c r="G87" s="3" t="s">
        <v>25</v>
      </c>
      <c r="H87" s="3" t="s">
        <v>25</v>
      </c>
      <c r="I87" s="6">
        <v>44562</v>
      </c>
      <c r="J87" s="4">
        <v>0</v>
      </c>
      <c r="K87" s="4">
        <v>0</v>
      </c>
      <c r="L87" s="4">
        <v>2.0299999999999998</v>
      </c>
      <c r="M87" s="4">
        <v>2.0299999999999998</v>
      </c>
      <c r="N87" s="4">
        <v>2.0299999999999998</v>
      </c>
      <c r="O87" s="4">
        <v>2.0299999999999998</v>
      </c>
      <c r="P87" s="4">
        <v>19</v>
      </c>
      <c r="Q87" s="3" t="s">
        <v>26</v>
      </c>
      <c r="R87" s="3">
        <v>0</v>
      </c>
      <c r="S87" s="3" t="s">
        <v>133</v>
      </c>
      <c r="T87" s="3" t="s">
        <v>294</v>
      </c>
      <c r="U87" s="3">
        <v>0</v>
      </c>
      <c r="V87" s="3">
        <v>18</v>
      </c>
      <c r="W87" s="3">
        <v>56</v>
      </c>
    </row>
    <row r="88" spans="1:23" ht="11.25" customHeight="1" x14ac:dyDescent="0.3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24</v>
      </c>
      <c r="F88" s="3" t="s">
        <v>25</v>
      </c>
      <c r="G88" s="3" t="s">
        <v>25</v>
      </c>
      <c r="H88" s="3" t="s">
        <v>25</v>
      </c>
      <c r="I88" s="6">
        <v>44593</v>
      </c>
      <c r="J88" s="4">
        <v>0</v>
      </c>
      <c r="K88" s="4">
        <v>0</v>
      </c>
      <c r="L88" s="4">
        <v>667.26</v>
      </c>
      <c r="M88" s="4">
        <v>667.26</v>
      </c>
      <c r="N88" s="4">
        <v>667.26</v>
      </c>
      <c r="O88" s="4">
        <v>667.26</v>
      </c>
      <c r="P88" s="4">
        <v>2847</v>
      </c>
      <c r="Q88" s="3" t="s">
        <v>26</v>
      </c>
      <c r="R88" s="3">
        <v>0</v>
      </c>
      <c r="S88" s="3" t="s">
        <v>134</v>
      </c>
      <c r="T88" s="3" t="s">
        <v>295</v>
      </c>
      <c r="U88" s="3">
        <v>0</v>
      </c>
      <c r="V88" s="3">
        <v>18</v>
      </c>
      <c r="W88" s="3">
        <v>56</v>
      </c>
    </row>
    <row r="89" spans="1:23" ht="11.25" customHeight="1" x14ac:dyDescent="0.3">
      <c r="A89" s="3" t="s">
        <v>27</v>
      </c>
      <c r="B89" s="3" t="s">
        <v>22</v>
      </c>
      <c r="C89" s="3" t="s">
        <v>23</v>
      </c>
      <c r="D89" s="3" t="s">
        <v>24</v>
      </c>
      <c r="E89" s="3" t="s">
        <v>24</v>
      </c>
      <c r="F89" s="3" t="s">
        <v>25</v>
      </c>
      <c r="G89" s="3" t="s">
        <v>25</v>
      </c>
      <c r="H89" s="3" t="s">
        <v>25</v>
      </c>
      <c r="I89" s="6">
        <v>44593</v>
      </c>
      <c r="J89" s="4">
        <v>0</v>
      </c>
      <c r="K89" s="4">
        <v>0</v>
      </c>
      <c r="L89" s="4">
        <v>-3.3889999999999998</v>
      </c>
      <c r="M89" s="4">
        <v>-3.3889999999999998</v>
      </c>
      <c r="N89" s="4">
        <v>-3.3889999999999998</v>
      </c>
      <c r="O89" s="4">
        <v>-3.3889999999999998</v>
      </c>
      <c r="P89" s="4">
        <v>0</v>
      </c>
      <c r="Q89" s="3" t="s">
        <v>26</v>
      </c>
      <c r="R89" s="3">
        <v>0</v>
      </c>
      <c r="S89" s="3" t="s">
        <v>134</v>
      </c>
      <c r="T89" s="3" t="s">
        <v>295</v>
      </c>
      <c r="U89" s="3">
        <v>0</v>
      </c>
      <c r="V89" s="3">
        <v>18</v>
      </c>
      <c r="W89" s="3">
        <v>56</v>
      </c>
    </row>
    <row r="90" spans="1:23" ht="11.25" customHeight="1" x14ac:dyDescent="0.3">
      <c r="A90" s="3" t="s">
        <v>28</v>
      </c>
      <c r="B90" s="3" t="s">
        <v>22</v>
      </c>
      <c r="C90" s="3" t="s">
        <v>23</v>
      </c>
      <c r="D90" s="3" t="s">
        <v>24</v>
      </c>
      <c r="E90" s="3" t="s">
        <v>24</v>
      </c>
      <c r="F90" s="3" t="s">
        <v>25</v>
      </c>
      <c r="G90" s="3" t="s">
        <v>25</v>
      </c>
      <c r="H90" s="3" t="s">
        <v>25</v>
      </c>
      <c r="I90" s="6">
        <v>44593</v>
      </c>
      <c r="J90" s="4">
        <v>0</v>
      </c>
      <c r="K90" s="4">
        <v>0</v>
      </c>
      <c r="L90" s="4">
        <v>3.0150000000000001</v>
      </c>
      <c r="M90" s="4">
        <v>3.0150000000000001</v>
      </c>
      <c r="N90" s="4">
        <v>3.0150000000000001</v>
      </c>
      <c r="O90" s="4">
        <v>3.0150000000000001</v>
      </c>
      <c r="P90" s="4">
        <v>20</v>
      </c>
      <c r="Q90" s="3" t="s">
        <v>26</v>
      </c>
      <c r="R90" s="3">
        <v>0</v>
      </c>
      <c r="S90" s="3" t="s">
        <v>134</v>
      </c>
      <c r="T90" s="3" t="s">
        <v>295</v>
      </c>
      <c r="U90" s="3">
        <v>0</v>
      </c>
      <c r="V90" s="3">
        <v>18</v>
      </c>
      <c r="W90" s="3">
        <v>56</v>
      </c>
    </row>
    <row r="91" spans="1:23" ht="11.25" customHeight="1" x14ac:dyDescent="0.3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24</v>
      </c>
      <c r="F91" s="3" t="s">
        <v>25</v>
      </c>
      <c r="G91" s="3" t="s">
        <v>25</v>
      </c>
      <c r="H91" s="3" t="s">
        <v>25</v>
      </c>
      <c r="I91" s="6">
        <v>44621</v>
      </c>
      <c r="J91" s="4">
        <v>0</v>
      </c>
      <c r="K91" s="4">
        <v>0</v>
      </c>
      <c r="L91" s="4">
        <v>532.94500000000005</v>
      </c>
      <c r="M91" s="4">
        <v>532.94500000000005</v>
      </c>
      <c r="N91" s="4">
        <v>532.94500000000005</v>
      </c>
      <c r="O91" s="4">
        <v>532.94500000000005</v>
      </c>
      <c r="P91" s="4">
        <v>2822</v>
      </c>
      <c r="Q91" s="3" t="s">
        <v>26</v>
      </c>
      <c r="R91" s="3">
        <v>0</v>
      </c>
      <c r="S91" s="3" t="s">
        <v>135</v>
      </c>
      <c r="T91" s="3" t="s">
        <v>296</v>
      </c>
      <c r="U91" s="3">
        <v>0</v>
      </c>
      <c r="V91" s="3">
        <v>18</v>
      </c>
      <c r="W91" s="3">
        <v>56</v>
      </c>
    </row>
    <row r="92" spans="1:23" ht="11.25" customHeight="1" x14ac:dyDescent="0.3">
      <c r="A92" s="3" t="s">
        <v>27</v>
      </c>
      <c r="B92" s="3" t="s">
        <v>22</v>
      </c>
      <c r="C92" s="3" t="s">
        <v>23</v>
      </c>
      <c r="D92" s="3" t="s">
        <v>24</v>
      </c>
      <c r="E92" s="3" t="s">
        <v>24</v>
      </c>
      <c r="F92" s="3" t="s">
        <v>25</v>
      </c>
      <c r="G92" s="3" t="s">
        <v>25</v>
      </c>
      <c r="H92" s="3" t="s">
        <v>25</v>
      </c>
      <c r="I92" s="6">
        <v>44621</v>
      </c>
      <c r="J92" s="4">
        <v>0</v>
      </c>
      <c r="K92" s="4">
        <v>0</v>
      </c>
      <c r="L92" s="4">
        <v>-1.036</v>
      </c>
      <c r="M92" s="4">
        <v>-1.036</v>
      </c>
      <c r="N92" s="4">
        <v>-1.036</v>
      </c>
      <c r="O92" s="4">
        <v>-1.036</v>
      </c>
      <c r="P92" s="4">
        <v>0</v>
      </c>
      <c r="Q92" s="3" t="s">
        <v>26</v>
      </c>
      <c r="R92" s="3">
        <v>0</v>
      </c>
      <c r="S92" s="3" t="s">
        <v>135</v>
      </c>
      <c r="T92" s="3" t="s">
        <v>296</v>
      </c>
      <c r="U92" s="3">
        <v>0</v>
      </c>
      <c r="V92" s="3">
        <v>18</v>
      </c>
      <c r="W92" s="3">
        <v>56</v>
      </c>
    </row>
    <row r="93" spans="1:23" ht="11.25" customHeight="1" x14ac:dyDescent="0.3">
      <c r="A93" s="3" t="s">
        <v>28</v>
      </c>
      <c r="B93" s="3" t="s">
        <v>22</v>
      </c>
      <c r="C93" s="3" t="s">
        <v>23</v>
      </c>
      <c r="D93" s="3" t="s">
        <v>24</v>
      </c>
      <c r="E93" s="3" t="s">
        <v>24</v>
      </c>
      <c r="F93" s="3" t="s">
        <v>25</v>
      </c>
      <c r="G93" s="3" t="s">
        <v>25</v>
      </c>
      <c r="H93" s="3" t="s">
        <v>25</v>
      </c>
      <c r="I93" s="6">
        <v>44621</v>
      </c>
      <c r="J93" s="4">
        <v>0</v>
      </c>
      <c r="K93" s="4">
        <v>0</v>
      </c>
      <c r="L93" s="4">
        <v>2.6539999999999999</v>
      </c>
      <c r="M93" s="4">
        <v>2.6539999999999999</v>
      </c>
      <c r="N93" s="4">
        <v>2.6539999999999999</v>
      </c>
      <c r="O93" s="4">
        <v>2.6539999999999999</v>
      </c>
      <c r="P93" s="4">
        <v>18</v>
      </c>
      <c r="Q93" s="3" t="s">
        <v>26</v>
      </c>
      <c r="R93" s="3">
        <v>0</v>
      </c>
      <c r="S93" s="3" t="s">
        <v>135</v>
      </c>
      <c r="T93" s="3" t="s">
        <v>296</v>
      </c>
      <c r="U93" s="3">
        <v>0</v>
      </c>
      <c r="V93" s="3">
        <v>18</v>
      </c>
      <c r="W93" s="3">
        <v>56</v>
      </c>
    </row>
    <row r="94" spans="1:23" ht="11.25" customHeight="1" x14ac:dyDescent="0.3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24</v>
      </c>
      <c r="F94" s="3" t="s">
        <v>25</v>
      </c>
      <c r="G94" s="3" t="s">
        <v>25</v>
      </c>
      <c r="H94" s="3" t="s">
        <v>25</v>
      </c>
      <c r="I94" s="6">
        <v>44652</v>
      </c>
      <c r="J94" s="4">
        <v>0</v>
      </c>
      <c r="K94" s="4">
        <v>0</v>
      </c>
      <c r="L94" s="4">
        <v>474.12099999999998</v>
      </c>
      <c r="M94" s="4">
        <v>474.12099999999998</v>
      </c>
      <c r="N94" s="4">
        <v>474.12099999999998</v>
      </c>
      <c r="O94" s="4">
        <v>474.12099999999998</v>
      </c>
      <c r="P94" s="4">
        <v>2814</v>
      </c>
      <c r="Q94" s="3" t="s">
        <v>26</v>
      </c>
      <c r="R94" s="3">
        <v>0</v>
      </c>
      <c r="S94" s="3" t="s">
        <v>136</v>
      </c>
      <c r="T94" s="3" t="s">
        <v>297</v>
      </c>
      <c r="U94" s="3">
        <v>0</v>
      </c>
      <c r="V94" s="3">
        <v>18</v>
      </c>
      <c r="W94" s="3">
        <v>56</v>
      </c>
    </row>
    <row r="95" spans="1:23" ht="11.25" customHeight="1" x14ac:dyDescent="0.3">
      <c r="A95" s="3" t="s">
        <v>27</v>
      </c>
      <c r="B95" s="3" t="s">
        <v>22</v>
      </c>
      <c r="C95" s="3" t="s">
        <v>23</v>
      </c>
      <c r="D95" s="3" t="s">
        <v>24</v>
      </c>
      <c r="E95" s="3" t="s">
        <v>24</v>
      </c>
      <c r="F95" s="3" t="s">
        <v>25</v>
      </c>
      <c r="G95" s="3" t="s">
        <v>25</v>
      </c>
      <c r="H95" s="3" t="s">
        <v>25</v>
      </c>
      <c r="I95" s="6">
        <v>44652</v>
      </c>
      <c r="J95" s="4">
        <v>0</v>
      </c>
      <c r="K95" s="4">
        <v>0</v>
      </c>
      <c r="L95" s="4">
        <v>-0.76</v>
      </c>
      <c r="M95" s="4">
        <v>-0.76</v>
      </c>
      <c r="N95" s="4">
        <v>-0.76</v>
      </c>
      <c r="O95" s="4">
        <v>-0.76</v>
      </c>
      <c r="P95" s="4">
        <v>0</v>
      </c>
      <c r="Q95" s="3" t="s">
        <v>26</v>
      </c>
      <c r="R95" s="3">
        <v>0</v>
      </c>
      <c r="S95" s="3" t="s">
        <v>136</v>
      </c>
      <c r="T95" s="3" t="s">
        <v>297</v>
      </c>
      <c r="U95" s="3">
        <v>0</v>
      </c>
      <c r="V95" s="3">
        <v>18</v>
      </c>
      <c r="W95" s="3">
        <v>56</v>
      </c>
    </row>
    <row r="96" spans="1:23" ht="11.25" customHeight="1" x14ac:dyDescent="0.3">
      <c r="A96" s="3" t="s">
        <v>28</v>
      </c>
      <c r="B96" s="3" t="s">
        <v>22</v>
      </c>
      <c r="C96" s="3" t="s">
        <v>23</v>
      </c>
      <c r="D96" s="3" t="s">
        <v>24</v>
      </c>
      <c r="E96" s="3" t="s">
        <v>24</v>
      </c>
      <c r="F96" s="3" t="s">
        <v>25</v>
      </c>
      <c r="G96" s="3" t="s">
        <v>25</v>
      </c>
      <c r="H96" s="3" t="s">
        <v>25</v>
      </c>
      <c r="I96" s="6">
        <v>44652</v>
      </c>
      <c r="J96" s="4">
        <v>0</v>
      </c>
      <c r="K96" s="4">
        <v>0</v>
      </c>
      <c r="L96" s="4">
        <v>2.738</v>
      </c>
      <c r="M96" s="4">
        <v>2.738</v>
      </c>
      <c r="N96" s="4">
        <v>2.738</v>
      </c>
      <c r="O96" s="4">
        <v>2.738</v>
      </c>
      <c r="P96" s="4">
        <v>19</v>
      </c>
      <c r="Q96" s="3" t="s">
        <v>26</v>
      </c>
      <c r="R96" s="3">
        <v>0</v>
      </c>
      <c r="S96" s="3" t="s">
        <v>136</v>
      </c>
      <c r="T96" s="3" t="s">
        <v>297</v>
      </c>
      <c r="U96" s="3">
        <v>0</v>
      </c>
      <c r="V96" s="3">
        <v>18</v>
      </c>
      <c r="W96" s="3">
        <v>56</v>
      </c>
    </row>
    <row r="97" spans="1:23" ht="11.25" customHeight="1" x14ac:dyDescent="0.3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24</v>
      </c>
      <c r="F97" s="3" t="s">
        <v>25</v>
      </c>
      <c r="G97" s="3" t="s">
        <v>25</v>
      </c>
      <c r="H97" s="3" t="s">
        <v>25</v>
      </c>
      <c r="I97" s="6">
        <v>44682</v>
      </c>
      <c r="J97" s="4">
        <v>0</v>
      </c>
      <c r="K97" s="4">
        <v>0</v>
      </c>
      <c r="L97" s="4">
        <v>422.15100000000001</v>
      </c>
      <c r="M97" s="4">
        <v>422.15100000000001</v>
      </c>
      <c r="N97" s="4">
        <v>422.15100000000001</v>
      </c>
      <c r="O97" s="4">
        <v>422.15100000000001</v>
      </c>
      <c r="P97" s="4">
        <v>2808</v>
      </c>
      <c r="Q97" s="3" t="s">
        <v>26</v>
      </c>
      <c r="R97" s="3">
        <v>0</v>
      </c>
      <c r="S97" s="3" t="s">
        <v>137</v>
      </c>
      <c r="T97" s="3" t="s">
        <v>298</v>
      </c>
      <c r="U97" s="3">
        <v>0</v>
      </c>
      <c r="V97" s="3">
        <v>18</v>
      </c>
      <c r="W97" s="3">
        <v>56</v>
      </c>
    </row>
    <row r="98" spans="1:23" ht="11.25" customHeight="1" x14ac:dyDescent="0.3">
      <c r="A98" s="3" t="s">
        <v>27</v>
      </c>
      <c r="B98" s="3" t="s">
        <v>22</v>
      </c>
      <c r="C98" s="3" t="s">
        <v>23</v>
      </c>
      <c r="D98" s="3" t="s">
        <v>24</v>
      </c>
      <c r="E98" s="3" t="s">
        <v>24</v>
      </c>
      <c r="F98" s="3" t="s">
        <v>25</v>
      </c>
      <c r="G98" s="3" t="s">
        <v>25</v>
      </c>
      <c r="H98" s="3" t="s">
        <v>25</v>
      </c>
      <c r="I98" s="6">
        <v>44682</v>
      </c>
      <c r="J98" s="4">
        <v>0</v>
      </c>
      <c r="K98" s="4">
        <v>0</v>
      </c>
      <c r="L98" s="4">
        <v>-0.97599999999999998</v>
      </c>
      <c r="M98" s="4">
        <v>-0.97599999999999998</v>
      </c>
      <c r="N98" s="4">
        <v>-0.97599999999999998</v>
      </c>
      <c r="O98" s="4">
        <v>-0.97599999999999998</v>
      </c>
      <c r="P98" s="4">
        <v>0</v>
      </c>
      <c r="Q98" s="3" t="s">
        <v>26</v>
      </c>
      <c r="R98" s="3">
        <v>0</v>
      </c>
      <c r="S98" s="3" t="s">
        <v>137</v>
      </c>
      <c r="T98" s="3" t="s">
        <v>298</v>
      </c>
      <c r="U98" s="3">
        <v>0</v>
      </c>
      <c r="V98" s="3">
        <v>18</v>
      </c>
      <c r="W98" s="3">
        <v>56</v>
      </c>
    </row>
    <row r="99" spans="1:23" ht="11.25" customHeight="1" x14ac:dyDescent="0.3">
      <c r="A99" s="3" t="s">
        <v>28</v>
      </c>
      <c r="B99" s="3" t="s">
        <v>22</v>
      </c>
      <c r="C99" s="3" t="s">
        <v>23</v>
      </c>
      <c r="D99" s="3" t="s">
        <v>24</v>
      </c>
      <c r="E99" s="3" t="s">
        <v>24</v>
      </c>
      <c r="F99" s="3" t="s">
        <v>25</v>
      </c>
      <c r="G99" s="3" t="s">
        <v>25</v>
      </c>
      <c r="H99" s="3" t="s">
        <v>25</v>
      </c>
      <c r="I99" s="6">
        <v>44682</v>
      </c>
      <c r="J99" s="4">
        <v>0</v>
      </c>
      <c r="K99" s="4">
        <v>0</v>
      </c>
      <c r="L99" s="4">
        <v>2.1309999999999998</v>
      </c>
      <c r="M99" s="4">
        <v>2.1309999999999998</v>
      </c>
      <c r="N99" s="4">
        <v>2.1309999999999998</v>
      </c>
      <c r="O99" s="4">
        <v>2.1309999999999998</v>
      </c>
      <c r="P99" s="4">
        <v>20</v>
      </c>
      <c r="Q99" s="3" t="s">
        <v>26</v>
      </c>
      <c r="R99" s="3">
        <v>0</v>
      </c>
      <c r="S99" s="3" t="s">
        <v>137</v>
      </c>
      <c r="T99" s="3" t="s">
        <v>298</v>
      </c>
      <c r="U99" s="3">
        <v>0</v>
      </c>
      <c r="V99" s="3">
        <v>18</v>
      </c>
      <c r="W99" s="3">
        <v>56</v>
      </c>
    </row>
    <row r="100" spans="1:23" ht="11.25" customHeight="1" x14ac:dyDescent="0.3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24</v>
      </c>
      <c r="F100" s="3" t="s">
        <v>25</v>
      </c>
      <c r="G100" s="3" t="s">
        <v>25</v>
      </c>
      <c r="H100" s="3" t="s">
        <v>25</v>
      </c>
      <c r="I100" s="6">
        <v>44713</v>
      </c>
      <c r="J100" s="4">
        <v>0</v>
      </c>
      <c r="K100" s="4">
        <v>0</v>
      </c>
      <c r="L100" s="4">
        <v>476.57</v>
      </c>
      <c r="M100" s="4">
        <v>476.57</v>
      </c>
      <c r="N100" s="4">
        <v>476.57</v>
      </c>
      <c r="O100" s="4">
        <v>476.57</v>
      </c>
      <c r="P100" s="4">
        <v>2835</v>
      </c>
      <c r="Q100" s="3" t="s">
        <v>26</v>
      </c>
      <c r="R100" s="3">
        <v>0</v>
      </c>
      <c r="S100" s="3" t="s">
        <v>138</v>
      </c>
      <c r="T100" s="3" t="s">
        <v>299</v>
      </c>
      <c r="U100" s="3">
        <v>0</v>
      </c>
      <c r="V100" s="3">
        <v>18</v>
      </c>
      <c r="W100" s="3">
        <v>56</v>
      </c>
    </row>
    <row r="101" spans="1:23" ht="11.25" customHeight="1" x14ac:dyDescent="0.3">
      <c r="A101" s="3" t="s">
        <v>27</v>
      </c>
      <c r="B101" s="3" t="s">
        <v>22</v>
      </c>
      <c r="C101" s="3" t="s">
        <v>23</v>
      </c>
      <c r="D101" s="3" t="s">
        <v>24</v>
      </c>
      <c r="E101" s="3" t="s">
        <v>24</v>
      </c>
      <c r="F101" s="3" t="s">
        <v>25</v>
      </c>
      <c r="G101" s="3" t="s">
        <v>25</v>
      </c>
      <c r="H101" s="3" t="s">
        <v>25</v>
      </c>
      <c r="I101" s="6">
        <v>44713</v>
      </c>
      <c r="J101" s="4">
        <v>0</v>
      </c>
      <c r="K101" s="4">
        <v>0</v>
      </c>
      <c r="L101" s="4">
        <v>-7.0000000000000007E-2</v>
      </c>
      <c r="M101" s="4">
        <v>-7.0000000000000007E-2</v>
      </c>
      <c r="N101" s="4">
        <v>-7.0000000000000007E-2</v>
      </c>
      <c r="O101" s="4">
        <v>-7.0000000000000007E-2</v>
      </c>
      <c r="P101" s="4">
        <v>0</v>
      </c>
      <c r="Q101" s="3" t="s">
        <v>26</v>
      </c>
      <c r="R101" s="3">
        <v>0</v>
      </c>
      <c r="S101" s="3" t="s">
        <v>138</v>
      </c>
      <c r="T101" s="3" t="s">
        <v>299</v>
      </c>
      <c r="U101" s="3">
        <v>0</v>
      </c>
      <c r="V101" s="3">
        <v>18</v>
      </c>
      <c r="W101" s="3">
        <v>56</v>
      </c>
    </row>
    <row r="102" spans="1:23" ht="11.25" customHeight="1" x14ac:dyDescent="0.3">
      <c r="A102" s="3" t="s">
        <v>28</v>
      </c>
      <c r="B102" s="3" t="s">
        <v>22</v>
      </c>
      <c r="C102" s="3" t="s">
        <v>23</v>
      </c>
      <c r="D102" s="3" t="s">
        <v>24</v>
      </c>
      <c r="E102" s="3" t="s">
        <v>24</v>
      </c>
      <c r="F102" s="3" t="s">
        <v>25</v>
      </c>
      <c r="G102" s="3" t="s">
        <v>25</v>
      </c>
      <c r="H102" s="3" t="s">
        <v>25</v>
      </c>
      <c r="I102" s="6">
        <v>44713</v>
      </c>
      <c r="J102" s="4">
        <v>0</v>
      </c>
      <c r="K102" s="4">
        <v>0</v>
      </c>
      <c r="L102" s="4">
        <v>2.7589999999999999</v>
      </c>
      <c r="M102" s="4">
        <v>2.7589999999999999</v>
      </c>
      <c r="N102" s="4">
        <v>2.7589999999999999</v>
      </c>
      <c r="O102" s="4">
        <v>2.7589999999999999</v>
      </c>
      <c r="P102" s="4">
        <v>19</v>
      </c>
      <c r="Q102" s="3" t="s">
        <v>26</v>
      </c>
      <c r="R102" s="3">
        <v>0</v>
      </c>
      <c r="S102" s="3" t="s">
        <v>138</v>
      </c>
      <c r="T102" s="3" t="s">
        <v>299</v>
      </c>
      <c r="U102" s="3">
        <v>0</v>
      </c>
      <c r="V102" s="3">
        <v>18</v>
      </c>
      <c r="W102" s="3">
        <v>56</v>
      </c>
    </row>
    <row r="103" spans="1:23" ht="11.25" customHeight="1" x14ac:dyDescent="0.3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24</v>
      </c>
      <c r="F103" s="3" t="s">
        <v>25</v>
      </c>
      <c r="G103" s="3" t="s">
        <v>25</v>
      </c>
      <c r="H103" s="3" t="s">
        <v>25</v>
      </c>
      <c r="I103" s="6">
        <v>44743</v>
      </c>
      <c r="J103" s="4">
        <v>0</v>
      </c>
      <c r="K103" s="4">
        <v>0</v>
      </c>
      <c r="L103" s="4">
        <v>482.822</v>
      </c>
      <c r="M103" s="4">
        <v>482.822</v>
      </c>
      <c r="N103" s="4">
        <v>482.822</v>
      </c>
      <c r="O103" s="4">
        <v>482.822</v>
      </c>
      <c r="P103" s="4">
        <v>2843</v>
      </c>
      <c r="Q103" s="3" t="s">
        <v>26</v>
      </c>
      <c r="R103" s="3">
        <v>0</v>
      </c>
      <c r="S103" s="3" t="s">
        <v>139</v>
      </c>
      <c r="T103" s="3" t="s">
        <v>300</v>
      </c>
      <c r="U103" s="3">
        <v>0</v>
      </c>
      <c r="V103" s="3">
        <v>18</v>
      </c>
      <c r="W103" s="3">
        <v>56</v>
      </c>
    </row>
    <row r="104" spans="1:23" ht="11.25" customHeight="1" x14ac:dyDescent="0.3">
      <c r="A104" s="3" t="s">
        <v>28</v>
      </c>
      <c r="B104" s="3" t="s">
        <v>22</v>
      </c>
      <c r="C104" s="3" t="s">
        <v>23</v>
      </c>
      <c r="D104" s="3" t="s">
        <v>24</v>
      </c>
      <c r="E104" s="3" t="s">
        <v>24</v>
      </c>
      <c r="F104" s="3" t="s">
        <v>25</v>
      </c>
      <c r="G104" s="3" t="s">
        <v>25</v>
      </c>
      <c r="H104" s="3" t="s">
        <v>25</v>
      </c>
      <c r="I104" s="6">
        <v>44743</v>
      </c>
      <c r="J104" s="4">
        <v>0</v>
      </c>
      <c r="K104" s="4">
        <v>0</v>
      </c>
      <c r="L104" s="4">
        <v>3.181</v>
      </c>
      <c r="M104" s="4">
        <v>3.181</v>
      </c>
      <c r="N104" s="4">
        <v>3.181</v>
      </c>
      <c r="O104" s="4">
        <v>3.181</v>
      </c>
      <c r="P104" s="4">
        <v>20</v>
      </c>
      <c r="Q104" s="3" t="s">
        <v>26</v>
      </c>
      <c r="R104" s="3">
        <v>0</v>
      </c>
      <c r="S104" s="3" t="s">
        <v>139</v>
      </c>
      <c r="T104" s="3" t="s">
        <v>300</v>
      </c>
      <c r="U104" s="3">
        <v>0</v>
      </c>
      <c r="V104" s="3">
        <v>18</v>
      </c>
      <c r="W104" s="3">
        <v>56</v>
      </c>
    </row>
    <row r="105" spans="1:23" ht="11.25" customHeight="1" x14ac:dyDescent="0.3">
      <c r="A105" s="3" t="s">
        <v>55</v>
      </c>
      <c r="B105" s="3" t="s">
        <v>22</v>
      </c>
      <c r="C105" s="3" t="s">
        <v>23</v>
      </c>
      <c r="D105" s="3" t="s">
        <v>24</v>
      </c>
      <c r="E105" s="3" t="s">
        <v>24</v>
      </c>
      <c r="F105" s="3" t="s">
        <v>25</v>
      </c>
      <c r="G105" s="3" t="s">
        <v>25</v>
      </c>
      <c r="H105" s="3" t="s">
        <v>25</v>
      </c>
      <c r="I105" s="6">
        <v>44774</v>
      </c>
      <c r="J105" s="4">
        <v>0</v>
      </c>
      <c r="K105" s="4">
        <v>0</v>
      </c>
      <c r="L105" s="4">
        <v>482.822</v>
      </c>
      <c r="M105" s="4">
        <v>482.822</v>
      </c>
      <c r="N105" s="4">
        <v>482.822</v>
      </c>
      <c r="O105" s="4">
        <v>482.822</v>
      </c>
      <c r="P105" s="4">
        <v>2843</v>
      </c>
      <c r="Q105" s="3" t="s">
        <v>26</v>
      </c>
      <c r="R105" s="3">
        <v>0</v>
      </c>
      <c r="S105" s="3" t="s">
        <v>140</v>
      </c>
      <c r="T105" s="3" t="s">
        <v>301</v>
      </c>
      <c r="U105" s="3">
        <v>0</v>
      </c>
      <c r="V105" s="3">
        <v>18</v>
      </c>
      <c r="W105" s="3">
        <v>56</v>
      </c>
    </row>
    <row r="106" spans="1:23" ht="11.25" customHeight="1" x14ac:dyDescent="0.3">
      <c r="A106" s="3" t="s">
        <v>55</v>
      </c>
      <c r="B106" s="3" t="s">
        <v>22</v>
      </c>
      <c r="C106" s="3" t="s">
        <v>23</v>
      </c>
      <c r="D106" s="3" t="s">
        <v>24</v>
      </c>
      <c r="E106" s="3" t="s">
        <v>24</v>
      </c>
      <c r="F106" s="3" t="s">
        <v>25</v>
      </c>
      <c r="G106" s="3" t="s">
        <v>25</v>
      </c>
      <c r="H106" s="3" t="s">
        <v>25</v>
      </c>
      <c r="I106" s="6">
        <v>44774</v>
      </c>
      <c r="J106" s="4">
        <v>0</v>
      </c>
      <c r="K106" s="4">
        <v>0</v>
      </c>
      <c r="L106" s="4">
        <v>3.181</v>
      </c>
      <c r="M106" s="4">
        <v>3.181</v>
      </c>
      <c r="N106" s="4">
        <v>3.181</v>
      </c>
      <c r="O106" s="4">
        <v>3.181</v>
      </c>
      <c r="P106" s="4">
        <v>20</v>
      </c>
      <c r="Q106" s="3" t="s">
        <v>26</v>
      </c>
      <c r="R106" s="3">
        <v>0</v>
      </c>
      <c r="S106" s="3" t="s">
        <v>140</v>
      </c>
      <c r="T106" s="3" t="s">
        <v>301</v>
      </c>
      <c r="U106" s="3">
        <v>0</v>
      </c>
      <c r="V106" s="3">
        <v>18</v>
      </c>
      <c r="W106" s="3">
        <v>56</v>
      </c>
    </row>
    <row r="107" spans="1:23" ht="11.25" customHeight="1" x14ac:dyDescent="0.3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29</v>
      </c>
      <c r="F107" s="3" t="s">
        <v>25</v>
      </c>
      <c r="G107" s="3" t="s">
        <v>25</v>
      </c>
      <c r="H107" s="3" t="s">
        <v>25</v>
      </c>
      <c r="I107" s="6">
        <v>44440</v>
      </c>
      <c r="J107" s="4">
        <v>0</v>
      </c>
      <c r="K107" s="4">
        <v>0</v>
      </c>
      <c r="L107" s="4">
        <v>4.9800000000000004</v>
      </c>
      <c r="M107" s="4">
        <v>4.9800000000000004</v>
      </c>
      <c r="N107" s="4">
        <v>4.9800000000000004</v>
      </c>
      <c r="O107" s="4">
        <v>4.9800000000000004</v>
      </c>
      <c r="P107" s="4">
        <v>6</v>
      </c>
      <c r="Q107" s="3" t="s">
        <v>26</v>
      </c>
      <c r="R107" s="3">
        <v>0</v>
      </c>
      <c r="S107" s="3" t="s">
        <v>141</v>
      </c>
      <c r="T107" s="3" t="s">
        <v>302</v>
      </c>
      <c r="U107" s="3">
        <v>0</v>
      </c>
      <c r="V107" s="3">
        <v>19</v>
      </c>
      <c r="W107" s="3">
        <v>57</v>
      </c>
    </row>
    <row r="108" spans="1:23" ht="11.25" customHeight="1" x14ac:dyDescent="0.3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29</v>
      </c>
      <c r="F108" s="3" t="s">
        <v>25</v>
      </c>
      <c r="G108" s="3" t="s">
        <v>25</v>
      </c>
      <c r="H108" s="3" t="s">
        <v>25</v>
      </c>
      <c r="I108" s="6">
        <v>44470</v>
      </c>
      <c r="J108" s="4">
        <v>0</v>
      </c>
      <c r="K108" s="4">
        <v>0</v>
      </c>
      <c r="L108" s="4">
        <v>5.16</v>
      </c>
      <c r="M108" s="4">
        <v>5.16</v>
      </c>
      <c r="N108" s="4">
        <v>5.16</v>
      </c>
      <c r="O108" s="4">
        <v>5.16</v>
      </c>
      <c r="P108" s="4">
        <v>7</v>
      </c>
      <c r="Q108" s="3" t="s">
        <v>26</v>
      </c>
      <c r="R108" s="3">
        <v>0</v>
      </c>
      <c r="S108" s="3" t="s">
        <v>142</v>
      </c>
      <c r="T108" s="3" t="s">
        <v>303</v>
      </c>
      <c r="U108" s="3">
        <v>0</v>
      </c>
      <c r="V108" s="3">
        <v>19</v>
      </c>
      <c r="W108" s="3">
        <v>57</v>
      </c>
    </row>
    <row r="109" spans="1:23" ht="11.25" customHeight="1" x14ac:dyDescent="0.3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29</v>
      </c>
      <c r="F109" s="3" t="s">
        <v>25</v>
      </c>
      <c r="G109" s="3" t="s">
        <v>25</v>
      </c>
      <c r="H109" s="3" t="s">
        <v>25</v>
      </c>
      <c r="I109" s="6">
        <v>44501</v>
      </c>
      <c r="J109" s="4">
        <v>0</v>
      </c>
      <c r="K109" s="4">
        <v>0</v>
      </c>
      <c r="L109" s="4">
        <v>5.34</v>
      </c>
      <c r="M109" s="4">
        <v>5.34</v>
      </c>
      <c r="N109" s="4">
        <v>5.34</v>
      </c>
      <c r="O109" s="4">
        <v>5.34</v>
      </c>
      <c r="P109" s="4">
        <v>9</v>
      </c>
      <c r="Q109" s="3" t="s">
        <v>26</v>
      </c>
      <c r="R109" s="3">
        <v>0</v>
      </c>
      <c r="S109" s="3" t="s">
        <v>143</v>
      </c>
      <c r="T109" s="3" t="s">
        <v>304</v>
      </c>
      <c r="U109" s="3">
        <v>0</v>
      </c>
      <c r="V109" s="3">
        <v>19</v>
      </c>
      <c r="W109" s="3">
        <v>57</v>
      </c>
    </row>
    <row r="110" spans="1:23" ht="11.25" customHeight="1" x14ac:dyDescent="0.3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29</v>
      </c>
      <c r="F110" s="3" t="s">
        <v>25</v>
      </c>
      <c r="G110" s="3" t="s">
        <v>25</v>
      </c>
      <c r="H110" s="3" t="s">
        <v>25</v>
      </c>
      <c r="I110" s="6">
        <v>44531</v>
      </c>
      <c r="J110" s="4">
        <v>0</v>
      </c>
      <c r="K110" s="4">
        <v>0</v>
      </c>
      <c r="L110" s="4">
        <v>5.37</v>
      </c>
      <c r="M110" s="4">
        <v>5.37</v>
      </c>
      <c r="N110" s="4">
        <v>5.37</v>
      </c>
      <c r="O110" s="4">
        <v>5.37</v>
      </c>
      <c r="P110" s="4">
        <v>8</v>
      </c>
      <c r="Q110" s="3" t="s">
        <v>26</v>
      </c>
      <c r="R110" s="3">
        <v>0</v>
      </c>
      <c r="S110" s="3" t="s">
        <v>144</v>
      </c>
      <c r="T110" s="3" t="s">
        <v>305</v>
      </c>
      <c r="U110" s="3">
        <v>0</v>
      </c>
      <c r="V110" s="3">
        <v>19</v>
      </c>
      <c r="W110" s="3">
        <v>57</v>
      </c>
    </row>
    <row r="111" spans="1:23" ht="11.25" customHeight="1" x14ac:dyDescent="0.3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29</v>
      </c>
      <c r="F111" s="3" t="s">
        <v>25</v>
      </c>
      <c r="G111" s="3" t="s">
        <v>25</v>
      </c>
      <c r="H111" s="3" t="s">
        <v>25</v>
      </c>
      <c r="I111" s="6">
        <v>44562</v>
      </c>
      <c r="J111" s="4">
        <v>0</v>
      </c>
      <c r="K111" s="4">
        <v>0</v>
      </c>
      <c r="L111" s="4">
        <v>5.52</v>
      </c>
      <c r="M111" s="4">
        <v>5.52</v>
      </c>
      <c r="N111" s="4">
        <v>5.52</v>
      </c>
      <c r="O111" s="4">
        <v>5.52</v>
      </c>
      <c r="P111" s="4">
        <v>6</v>
      </c>
      <c r="Q111" s="3" t="s">
        <v>26</v>
      </c>
      <c r="R111" s="3">
        <v>0</v>
      </c>
      <c r="S111" s="3" t="s">
        <v>145</v>
      </c>
      <c r="T111" s="3" t="s">
        <v>306</v>
      </c>
      <c r="U111" s="3">
        <v>0</v>
      </c>
      <c r="V111" s="3">
        <v>19</v>
      </c>
      <c r="W111" s="3">
        <v>57</v>
      </c>
    </row>
    <row r="112" spans="1:23" ht="11.25" customHeight="1" x14ac:dyDescent="0.3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29</v>
      </c>
      <c r="F112" s="3" t="s">
        <v>25</v>
      </c>
      <c r="G112" s="3" t="s">
        <v>25</v>
      </c>
      <c r="H112" s="3" t="s">
        <v>25</v>
      </c>
      <c r="I112" s="6">
        <v>44593</v>
      </c>
      <c r="J112" s="4">
        <v>0</v>
      </c>
      <c r="K112" s="4">
        <v>0</v>
      </c>
      <c r="L112" s="4">
        <v>5.76</v>
      </c>
      <c r="M112" s="4">
        <v>5.76</v>
      </c>
      <c r="N112" s="4">
        <v>5.76</v>
      </c>
      <c r="O112" s="4">
        <v>5.76</v>
      </c>
      <c r="P112" s="4">
        <v>9</v>
      </c>
      <c r="Q112" s="3" t="s">
        <v>26</v>
      </c>
      <c r="R112" s="3">
        <v>0</v>
      </c>
      <c r="S112" s="3" t="s">
        <v>146</v>
      </c>
      <c r="T112" s="3" t="s">
        <v>307</v>
      </c>
      <c r="U112" s="3">
        <v>0</v>
      </c>
      <c r="V112" s="3">
        <v>19</v>
      </c>
      <c r="W112" s="3">
        <v>57</v>
      </c>
    </row>
    <row r="113" spans="1:23" ht="11.25" customHeight="1" x14ac:dyDescent="0.3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29</v>
      </c>
      <c r="F113" s="3" t="s">
        <v>25</v>
      </c>
      <c r="G113" s="3" t="s">
        <v>25</v>
      </c>
      <c r="H113" s="3" t="s">
        <v>25</v>
      </c>
      <c r="I113" s="6">
        <v>44621</v>
      </c>
      <c r="J113" s="4">
        <v>0</v>
      </c>
      <c r="K113" s="4">
        <v>0</v>
      </c>
      <c r="L113" s="4">
        <v>7.2</v>
      </c>
      <c r="M113" s="4">
        <v>7.2</v>
      </c>
      <c r="N113" s="4">
        <v>7.2</v>
      </c>
      <c r="O113" s="4">
        <v>7.2</v>
      </c>
      <c r="P113" s="4">
        <v>12</v>
      </c>
      <c r="Q113" s="3" t="s">
        <v>26</v>
      </c>
      <c r="R113" s="3">
        <v>0</v>
      </c>
      <c r="S113" s="3" t="s">
        <v>147</v>
      </c>
      <c r="T113" s="3" t="s">
        <v>308</v>
      </c>
      <c r="U113" s="3">
        <v>0</v>
      </c>
      <c r="V113" s="3">
        <v>19</v>
      </c>
      <c r="W113" s="3">
        <v>57</v>
      </c>
    </row>
    <row r="114" spans="1:23" ht="11.25" customHeight="1" x14ac:dyDescent="0.3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29</v>
      </c>
      <c r="F114" s="3" t="s">
        <v>25</v>
      </c>
      <c r="G114" s="3" t="s">
        <v>25</v>
      </c>
      <c r="H114" s="3" t="s">
        <v>25</v>
      </c>
      <c r="I114" s="6">
        <v>44652</v>
      </c>
      <c r="J114" s="4">
        <v>0</v>
      </c>
      <c r="K114" s="4">
        <v>0</v>
      </c>
      <c r="L114" s="4">
        <v>7.5</v>
      </c>
      <c r="M114" s="4">
        <v>7.5</v>
      </c>
      <c r="N114" s="4">
        <v>7.5</v>
      </c>
      <c r="O114" s="4">
        <v>7.5</v>
      </c>
      <c r="P114" s="4">
        <v>11</v>
      </c>
      <c r="Q114" s="3" t="s">
        <v>26</v>
      </c>
      <c r="R114" s="3">
        <v>0</v>
      </c>
      <c r="S114" s="3" t="s">
        <v>148</v>
      </c>
      <c r="T114" s="3" t="s">
        <v>309</v>
      </c>
      <c r="U114" s="3">
        <v>0</v>
      </c>
      <c r="V114" s="3">
        <v>19</v>
      </c>
      <c r="W114" s="3">
        <v>57</v>
      </c>
    </row>
    <row r="115" spans="1:23" ht="11.25" customHeight="1" x14ac:dyDescent="0.3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29</v>
      </c>
      <c r="F115" s="3" t="s">
        <v>25</v>
      </c>
      <c r="G115" s="3" t="s">
        <v>25</v>
      </c>
      <c r="H115" s="3" t="s">
        <v>25</v>
      </c>
      <c r="I115" s="6">
        <v>44682</v>
      </c>
      <c r="J115" s="4">
        <v>0</v>
      </c>
      <c r="K115" s="4">
        <v>0</v>
      </c>
      <c r="L115" s="4">
        <v>8.2799999999999994</v>
      </c>
      <c r="M115" s="4">
        <v>8.2799999999999994</v>
      </c>
      <c r="N115" s="4">
        <v>8.2799999999999994</v>
      </c>
      <c r="O115" s="4">
        <v>8.2799999999999994</v>
      </c>
      <c r="P115" s="4">
        <v>13</v>
      </c>
      <c r="Q115" s="3" t="s">
        <v>26</v>
      </c>
      <c r="R115" s="3">
        <v>0</v>
      </c>
      <c r="S115" s="3" t="s">
        <v>149</v>
      </c>
      <c r="T115" s="3" t="s">
        <v>310</v>
      </c>
      <c r="U115" s="3">
        <v>0</v>
      </c>
      <c r="V115" s="3">
        <v>19</v>
      </c>
      <c r="W115" s="3">
        <v>57</v>
      </c>
    </row>
    <row r="116" spans="1:23" ht="11.25" customHeight="1" x14ac:dyDescent="0.3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29</v>
      </c>
      <c r="F116" s="3" t="s">
        <v>25</v>
      </c>
      <c r="G116" s="3" t="s">
        <v>25</v>
      </c>
      <c r="H116" s="3" t="s">
        <v>25</v>
      </c>
      <c r="I116" s="6">
        <v>44713</v>
      </c>
      <c r="J116" s="4">
        <v>0</v>
      </c>
      <c r="K116" s="4">
        <v>0</v>
      </c>
      <c r="L116" s="4">
        <v>7.7990000000000004</v>
      </c>
      <c r="M116" s="4">
        <v>7.7990000000000004</v>
      </c>
      <c r="N116" s="4">
        <v>7.7990000000000004</v>
      </c>
      <c r="O116" s="4">
        <v>7.7990000000000004</v>
      </c>
      <c r="P116" s="4">
        <v>12</v>
      </c>
      <c r="Q116" s="3" t="s">
        <v>26</v>
      </c>
      <c r="R116" s="3">
        <v>0</v>
      </c>
      <c r="S116" s="3" t="s">
        <v>150</v>
      </c>
      <c r="T116" s="3" t="s">
        <v>311</v>
      </c>
      <c r="U116" s="3">
        <v>0</v>
      </c>
      <c r="V116" s="3">
        <v>19</v>
      </c>
      <c r="W116" s="3">
        <v>57</v>
      </c>
    </row>
    <row r="117" spans="1:23" ht="11.25" customHeight="1" x14ac:dyDescent="0.3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29</v>
      </c>
      <c r="F117" s="3" t="s">
        <v>25</v>
      </c>
      <c r="G117" s="3" t="s">
        <v>25</v>
      </c>
      <c r="H117" s="3" t="s">
        <v>25</v>
      </c>
      <c r="I117" s="6">
        <v>44743</v>
      </c>
      <c r="J117" s="4">
        <v>0</v>
      </c>
      <c r="K117" s="4">
        <v>0</v>
      </c>
      <c r="L117" s="4">
        <v>7.86</v>
      </c>
      <c r="M117" s="4">
        <v>7.86</v>
      </c>
      <c r="N117" s="4">
        <v>7.86</v>
      </c>
      <c r="O117" s="4">
        <v>7.86</v>
      </c>
      <c r="P117" s="4">
        <v>14</v>
      </c>
      <c r="Q117" s="3" t="s">
        <v>26</v>
      </c>
      <c r="R117" s="3">
        <v>0</v>
      </c>
      <c r="S117" s="3" t="s">
        <v>151</v>
      </c>
      <c r="T117" s="3" t="s">
        <v>312</v>
      </c>
      <c r="U117" s="3">
        <v>0</v>
      </c>
      <c r="V117" s="3">
        <v>19</v>
      </c>
      <c r="W117" s="3">
        <v>57</v>
      </c>
    </row>
    <row r="118" spans="1:23" ht="11.25" customHeight="1" x14ac:dyDescent="0.3">
      <c r="A118" s="3" t="s">
        <v>55</v>
      </c>
      <c r="B118" s="3" t="s">
        <v>22</v>
      </c>
      <c r="C118" s="3" t="s">
        <v>23</v>
      </c>
      <c r="D118" s="3" t="s">
        <v>24</v>
      </c>
      <c r="E118" s="3" t="s">
        <v>29</v>
      </c>
      <c r="F118" s="3" t="s">
        <v>25</v>
      </c>
      <c r="G118" s="3" t="s">
        <v>25</v>
      </c>
      <c r="H118" s="3" t="s">
        <v>25</v>
      </c>
      <c r="I118" s="6">
        <v>44774</v>
      </c>
      <c r="J118" s="4">
        <v>0</v>
      </c>
      <c r="K118" s="4">
        <v>0</v>
      </c>
      <c r="L118" s="4">
        <v>7.86</v>
      </c>
      <c r="M118" s="4">
        <v>7.86</v>
      </c>
      <c r="N118" s="4">
        <v>7.86</v>
      </c>
      <c r="O118" s="4">
        <v>7.86</v>
      </c>
      <c r="P118" s="4">
        <v>14</v>
      </c>
      <c r="Q118" s="3" t="s">
        <v>26</v>
      </c>
      <c r="R118" s="3">
        <v>0</v>
      </c>
      <c r="S118" s="3" t="s">
        <v>152</v>
      </c>
      <c r="T118" s="3" t="s">
        <v>313</v>
      </c>
      <c r="U118" s="3">
        <v>0</v>
      </c>
      <c r="V118" s="3">
        <v>19</v>
      </c>
      <c r="W118" s="3">
        <v>57</v>
      </c>
    </row>
    <row r="119" spans="1:23" ht="11.25" customHeight="1" x14ac:dyDescent="0.3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30</v>
      </c>
      <c r="F119" s="3" t="s">
        <v>25</v>
      </c>
      <c r="G119" s="3" t="s">
        <v>25</v>
      </c>
      <c r="H119" s="3" t="s">
        <v>25</v>
      </c>
      <c r="I119" s="6">
        <v>44440</v>
      </c>
      <c r="J119" s="4">
        <v>0</v>
      </c>
      <c r="K119" s="4">
        <v>0</v>
      </c>
      <c r="L119" s="4">
        <v>10.137</v>
      </c>
      <c r="M119" s="4">
        <v>10.137</v>
      </c>
      <c r="N119" s="4">
        <v>10.137</v>
      </c>
      <c r="O119" s="4">
        <v>10.137</v>
      </c>
      <c r="P119" s="4">
        <v>36</v>
      </c>
      <c r="Q119" s="3" t="s">
        <v>26</v>
      </c>
      <c r="R119" s="3">
        <v>0</v>
      </c>
      <c r="S119" s="3" t="s">
        <v>153</v>
      </c>
      <c r="T119" s="3" t="s">
        <v>314</v>
      </c>
      <c r="U119" s="3">
        <v>0</v>
      </c>
      <c r="V119" s="3">
        <v>20</v>
      </c>
      <c r="W119" s="3">
        <v>58</v>
      </c>
    </row>
    <row r="120" spans="1:23" ht="11.25" customHeight="1" x14ac:dyDescent="0.3">
      <c r="A120" s="3" t="s">
        <v>27</v>
      </c>
      <c r="B120" s="3" t="s">
        <v>22</v>
      </c>
      <c r="C120" s="3" t="s">
        <v>23</v>
      </c>
      <c r="D120" s="3" t="s">
        <v>24</v>
      </c>
      <c r="E120" s="3" t="s">
        <v>30</v>
      </c>
      <c r="F120" s="3" t="s">
        <v>25</v>
      </c>
      <c r="G120" s="3" t="s">
        <v>25</v>
      </c>
      <c r="H120" s="3" t="s">
        <v>25</v>
      </c>
      <c r="I120" s="6">
        <v>44440</v>
      </c>
      <c r="J120" s="4">
        <v>0</v>
      </c>
      <c r="K120" s="4">
        <v>0</v>
      </c>
      <c r="L120" s="4">
        <v>-0.14000000000000001</v>
      </c>
      <c r="M120" s="4">
        <v>-0.14000000000000001</v>
      </c>
      <c r="N120" s="4">
        <v>-0.14000000000000001</v>
      </c>
      <c r="O120" s="4">
        <v>-0.14000000000000001</v>
      </c>
      <c r="P120" s="4">
        <v>0</v>
      </c>
      <c r="Q120" s="3" t="s">
        <v>26</v>
      </c>
      <c r="R120" s="3">
        <v>0</v>
      </c>
      <c r="S120" s="3" t="s">
        <v>153</v>
      </c>
      <c r="T120" s="3" t="s">
        <v>314</v>
      </c>
      <c r="U120" s="3">
        <v>0</v>
      </c>
      <c r="V120" s="3">
        <v>20</v>
      </c>
      <c r="W120" s="3">
        <v>58</v>
      </c>
    </row>
    <row r="121" spans="1:23" ht="11.25" customHeight="1" x14ac:dyDescent="0.3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30</v>
      </c>
      <c r="F121" s="3" t="s">
        <v>25</v>
      </c>
      <c r="G121" s="3" t="s">
        <v>25</v>
      </c>
      <c r="H121" s="3" t="s">
        <v>25</v>
      </c>
      <c r="I121" s="6">
        <v>44470</v>
      </c>
      <c r="J121" s="4">
        <v>0</v>
      </c>
      <c r="K121" s="4">
        <v>0</v>
      </c>
      <c r="L121" s="4">
        <v>10.64</v>
      </c>
      <c r="M121" s="4">
        <v>10.64</v>
      </c>
      <c r="N121" s="4">
        <v>10.64</v>
      </c>
      <c r="O121" s="4">
        <v>10.64</v>
      </c>
      <c r="P121" s="4">
        <v>34</v>
      </c>
      <c r="Q121" s="3" t="s">
        <v>26</v>
      </c>
      <c r="R121" s="3">
        <v>0</v>
      </c>
      <c r="S121" s="3" t="s">
        <v>154</v>
      </c>
      <c r="T121" s="3" t="s">
        <v>315</v>
      </c>
      <c r="U121" s="3">
        <v>0</v>
      </c>
      <c r="V121" s="3">
        <v>20</v>
      </c>
      <c r="W121" s="3">
        <v>58</v>
      </c>
    </row>
    <row r="122" spans="1:23" ht="11.25" customHeight="1" x14ac:dyDescent="0.3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30</v>
      </c>
      <c r="F122" s="3" t="s">
        <v>25</v>
      </c>
      <c r="G122" s="3" t="s">
        <v>25</v>
      </c>
      <c r="H122" s="3" t="s">
        <v>25</v>
      </c>
      <c r="I122" s="6">
        <v>44501</v>
      </c>
      <c r="J122" s="4">
        <v>0</v>
      </c>
      <c r="K122" s="4">
        <v>0</v>
      </c>
      <c r="L122" s="4">
        <v>10.894</v>
      </c>
      <c r="M122" s="4">
        <v>10.894</v>
      </c>
      <c r="N122" s="4">
        <v>10.894</v>
      </c>
      <c r="O122" s="4">
        <v>10.894</v>
      </c>
      <c r="P122" s="4">
        <v>40</v>
      </c>
      <c r="Q122" s="3" t="s">
        <v>26</v>
      </c>
      <c r="R122" s="3">
        <v>0</v>
      </c>
      <c r="S122" s="3" t="s">
        <v>155</v>
      </c>
      <c r="T122" s="3" t="s">
        <v>316</v>
      </c>
      <c r="U122" s="3">
        <v>0</v>
      </c>
      <c r="V122" s="3">
        <v>20</v>
      </c>
      <c r="W122" s="3">
        <v>58</v>
      </c>
    </row>
    <row r="123" spans="1:23" ht="11.25" customHeight="1" x14ac:dyDescent="0.3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30</v>
      </c>
      <c r="F123" s="3" t="s">
        <v>25</v>
      </c>
      <c r="G123" s="3" t="s">
        <v>25</v>
      </c>
      <c r="H123" s="3" t="s">
        <v>25</v>
      </c>
      <c r="I123" s="6">
        <v>44531</v>
      </c>
      <c r="J123" s="4">
        <v>0</v>
      </c>
      <c r="K123" s="4">
        <v>0</v>
      </c>
      <c r="L123" s="4">
        <v>11.026</v>
      </c>
      <c r="M123" s="4">
        <v>11.026</v>
      </c>
      <c r="N123" s="4">
        <v>11.026</v>
      </c>
      <c r="O123" s="4">
        <v>11.026</v>
      </c>
      <c r="P123" s="4">
        <v>37</v>
      </c>
      <c r="Q123" s="3" t="s">
        <v>26</v>
      </c>
      <c r="R123" s="3">
        <v>0</v>
      </c>
      <c r="S123" s="3" t="s">
        <v>156</v>
      </c>
      <c r="T123" s="3" t="s">
        <v>317</v>
      </c>
      <c r="U123" s="3">
        <v>0</v>
      </c>
      <c r="V123" s="3">
        <v>20</v>
      </c>
      <c r="W123" s="3">
        <v>58</v>
      </c>
    </row>
    <row r="124" spans="1:23" ht="11.25" customHeight="1" x14ac:dyDescent="0.3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30</v>
      </c>
      <c r="F124" s="3" t="s">
        <v>25</v>
      </c>
      <c r="G124" s="3" t="s">
        <v>25</v>
      </c>
      <c r="H124" s="3" t="s">
        <v>25</v>
      </c>
      <c r="I124" s="6">
        <v>44562</v>
      </c>
      <c r="J124" s="4">
        <v>0</v>
      </c>
      <c r="K124" s="4">
        <v>0</v>
      </c>
      <c r="L124" s="4">
        <v>11.669</v>
      </c>
      <c r="M124" s="4">
        <v>11.669</v>
      </c>
      <c r="N124" s="4">
        <v>11.669</v>
      </c>
      <c r="O124" s="4">
        <v>11.669</v>
      </c>
      <c r="P124" s="4">
        <v>37</v>
      </c>
      <c r="Q124" s="3" t="s">
        <v>26</v>
      </c>
      <c r="R124" s="3">
        <v>0</v>
      </c>
      <c r="S124" s="3" t="s">
        <v>157</v>
      </c>
      <c r="T124" s="3" t="s">
        <v>318</v>
      </c>
      <c r="U124" s="3">
        <v>0</v>
      </c>
      <c r="V124" s="3">
        <v>20</v>
      </c>
      <c r="W124" s="3">
        <v>58</v>
      </c>
    </row>
    <row r="125" spans="1:23" ht="11.25" customHeight="1" x14ac:dyDescent="0.3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30</v>
      </c>
      <c r="F125" s="3" t="s">
        <v>25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12.263</v>
      </c>
      <c r="M125" s="4">
        <v>12.263</v>
      </c>
      <c r="N125" s="4">
        <v>12.263</v>
      </c>
      <c r="O125" s="4">
        <v>12.263</v>
      </c>
      <c r="P125" s="4">
        <v>22</v>
      </c>
      <c r="Q125" s="3" t="s">
        <v>26</v>
      </c>
      <c r="R125" s="3">
        <v>0</v>
      </c>
      <c r="S125" s="3" t="s">
        <v>158</v>
      </c>
      <c r="T125" s="3" t="s">
        <v>319</v>
      </c>
      <c r="U125" s="3">
        <v>0</v>
      </c>
      <c r="V125" s="3">
        <v>20</v>
      </c>
      <c r="W125" s="3">
        <v>58</v>
      </c>
    </row>
    <row r="126" spans="1:23" ht="11.25" customHeight="1" x14ac:dyDescent="0.3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30</v>
      </c>
      <c r="F126" s="3" t="s">
        <v>25</v>
      </c>
      <c r="G126" s="3" t="s">
        <v>25</v>
      </c>
      <c r="H126" s="3" t="s">
        <v>25</v>
      </c>
      <c r="I126" s="6">
        <v>44621</v>
      </c>
      <c r="J126" s="4">
        <v>0</v>
      </c>
      <c r="K126" s="4">
        <v>0</v>
      </c>
      <c r="L126" s="4">
        <v>14.694000000000001</v>
      </c>
      <c r="M126" s="4">
        <v>14.694000000000001</v>
      </c>
      <c r="N126" s="4">
        <v>14.694000000000001</v>
      </c>
      <c r="O126" s="4">
        <v>14.694000000000001</v>
      </c>
      <c r="P126" s="4">
        <v>44</v>
      </c>
      <c r="Q126" s="3" t="s">
        <v>26</v>
      </c>
      <c r="R126" s="3">
        <v>0</v>
      </c>
      <c r="S126" s="3" t="s">
        <v>159</v>
      </c>
      <c r="T126" s="3" t="s">
        <v>320</v>
      </c>
      <c r="U126" s="3">
        <v>0</v>
      </c>
      <c r="V126" s="3">
        <v>20</v>
      </c>
      <c r="W126" s="3">
        <v>58</v>
      </c>
    </row>
    <row r="127" spans="1:23" ht="11.25" customHeight="1" x14ac:dyDescent="0.3">
      <c r="A127" s="3" t="s">
        <v>27</v>
      </c>
      <c r="B127" s="3" t="s">
        <v>22</v>
      </c>
      <c r="C127" s="3" t="s">
        <v>23</v>
      </c>
      <c r="D127" s="3" t="s">
        <v>24</v>
      </c>
      <c r="E127" s="3" t="s">
        <v>30</v>
      </c>
      <c r="F127" s="3" t="s">
        <v>25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-5.0000000000000001E-3</v>
      </c>
      <c r="M127" s="4">
        <v>-5.0000000000000001E-3</v>
      </c>
      <c r="N127" s="4">
        <v>-5.0000000000000001E-3</v>
      </c>
      <c r="O127" s="4">
        <v>-5.0000000000000001E-3</v>
      </c>
      <c r="P127" s="4">
        <v>0</v>
      </c>
      <c r="Q127" s="3" t="s">
        <v>26</v>
      </c>
      <c r="R127" s="3">
        <v>0</v>
      </c>
      <c r="S127" s="3" t="s">
        <v>159</v>
      </c>
      <c r="T127" s="3" t="s">
        <v>320</v>
      </c>
      <c r="U127" s="3">
        <v>0</v>
      </c>
      <c r="V127" s="3">
        <v>20</v>
      </c>
      <c r="W127" s="3">
        <v>58</v>
      </c>
    </row>
    <row r="128" spans="1:23" ht="11.25" customHeight="1" x14ac:dyDescent="0.3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30</v>
      </c>
      <c r="F128" s="3" t="s">
        <v>25</v>
      </c>
      <c r="G128" s="3" t="s">
        <v>25</v>
      </c>
      <c r="H128" s="3" t="s">
        <v>25</v>
      </c>
      <c r="I128" s="6">
        <v>44652</v>
      </c>
      <c r="J128" s="4">
        <v>0</v>
      </c>
      <c r="K128" s="4">
        <v>0</v>
      </c>
      <c r="L128" s="4">
        <v>15.435</v>
      </c>
      <c r="M128" s="4">
        <v>15.435</v>
      </c>
      <c r="N128" s="4">
        <v>15.435</v>
      </c>
      <c r="O128" s="4">
        <v>15.435</v>
      </c>
      <c r="P128" s="4">
        <v>48</v>
      </c>
      <c r="Q128" s="3" t="s">
        <v>26</v>
      </c>
      <c r="R128" s="3">
        <v>0</v>
      </c>
      <c r="S128" s="3" t="s">
        <v>160</v>
      </c>
      <c r="T128" s="3" t="s">
        <v>321</v>
      </c>
      <c r="U128" s="3">
        <v>0</v>
      </c>
      <c r="V128" s="3">
        <v>20</v>
      </c>
      <c r="W128" s="3">
        <v>58</v>
      </c>
    </row>
    <row r="129" spans="1:23" ht="11.25" customHeight="1" x14ac:dyDescent="0.3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30</v>
      </c>
      <c r="F129" s="3" t="s">
        <v>25</v>
      </c>
      <c r="G129" s="3" t="s">
        <v>25</v>
      </c>
      <c r="H129" s="3" t="s">
        <v>25</v>
      </c>
      <c r="I129" s="6">
        <v>44682</v>
      </c>
      <c r="J129" s="4">
        <v>0</v>
      </c>
      <c r="K129" s="4">
        <v>0</v>
      </c>
      <c r="L129" s="4">
        <v>16.388000000000002</v>
      </c>
      <c r="M129" s="4">
        <v>16.388000000000002</v>
      </c>
      <c r="N129" s="4">
        <v>16.388000000000002</v>
      </c>
      <c r="O129" s="4">
        <v>16.388000000000002</v>
      </c>
      <c r="P129" s="4">
        <v>74</v>
      </c>
      <c r="Q129" s="3" t="s">
        <v>26</v>
      </c>
      <c r="R129" s="3">
        <v>0</v>
      </c>
      <c r="S129" s="3" t="s">
        <v>161</v>
      </c>
      <c r="T129" s="3" t="s">
        <v>322</v>
      </c>
      <c r="U129" s="3">
        <v>0</v>
      </c>
      <c r="V129" s="3">
        <v>20</v>
      </c>
      <c r="W129" s="3">
        <v>58</v>
      </c>
    </row>
    <row r="130" spans="1:23" ht="11.25" customHeight="1" x14ac:dyDescent="0.3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30</v>
      </c>
      <c r="F130" s="3" t="s">
        <v>25</v>
      </c>
      <c r="G130" s="3" t="s">
        <v>25</v>
      </c>
      <c r="H130" s="3" t="s">
        <v>25</v>
      </c>
      <c r="I130" s="6">
        <v>44713</v>
      </c>
      <c r="J130" s="4">
        <v>0</v>
      </c>
      <c r="K130" s="4">
        <v>0</v>
      </c>
      <c r="L130" s="4">
        <v>15.46</v>
      </c>
      <c r="M130" s="4">
        <v>15.46</v>
      </c>
      <c r="N130" s="4">
        <v>15.46</v>
      </c>
      <c r="O130" s="4">
        <v>15.46</v>
      </c>
      <c r="P130" s="4">
        <v>60</v>
      </c>
      <c r="Q130" s="3" t="s">
        <v>26</v>
      </c>
      <c r="R130" s="3">
        <v>0</v>
      </c>
      <c r="S130" s="3" t="s">
        <v>162</v>
      </c>
      <c r="T130" s="3" t="s">
        <v>323</v>
      </c>
      <c r="U130" s="3">
        <v>0</v>
      </c>
      <c r="V130" s="3">
        <v>20</v>
      </c>
      <c r="W130" s="3">
        <v>58</v>
      </c>
    </row>
    <row r="131" spans="1:23" ht="11.25" customHeight="1" x14ac:dyDescent="0.3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30</v>
      </c>
      <c r="F131" s="3" t="s">
        <v>25</v>
      </c>
      <c r="G131" s="3" t="s">
        <v>25</v>
      </c>
      <c r="H131" s="3" t="s">
        <v>25</v>
      </c>
      <c r="I131" s="6">
        <v>44743</v>
      </c>
      <c r="J131" s="4">
        <v>0</v>
      </c>
      <c r="K131" s="4">
        <v>0</v>
      </c>
      <c r="L131" s="4">
        <v>15.704000000000001</v>
      </c>
      <c r="M131" s="4">
        <v>15.704000000000001</v>
      </c>
      <c r="N131" s="4">
        <v>15.704000000000001</v>
      </c>
      <c r="O131" s="4">
        <v>15.704000000000001</v>
      </c>
      <c r="P131" s="4">
        <v>59</v>
      </c>
      <c r="Q131" s="3" t="s">
        <v>26</v>
      </c>
      <c r="R131" s="3">
        <v>0</v>
      </c>
      <c r="S131" s="3" t="s">
        <v>163</v>
      </c>
      <c r="T131" s="3" t="s">
        <v>324</v>
      </c>
      <c r="U131" s="3">
        <v>0</v>
      </c>
      <c r="V131" s="3">
        <v>20</v>
      </c>
      <c r="W131" s="3">
        <v>58</v>
      </c>
    </row>
    <row r="132" spans="1:23" ht="11.25" customHeight="1" x14ac:dyDescent="0.3">
      <c r="A132" s="3" t="s">
        <v>55</v>
      </c>
      <c r="B132" s="3" t="s">
        <v>22</v>
      </c>
      <c r="C132" s="3" t="s">
        <v>23</v>
      </c>
      <c r="D132" s="3" t="s">
        <v>24</v>
      </c>
      <c r="E132" s="3" t="s">
        <v>30</v>
      </c>
      <c r="F132" s="3" t="s">
        <v>25</v>
      </c>
      <c r="G132" s="3" t="s">
        <v>25</v>
      </c>
      <c r="H132" s="3" t="s">
        <v>25</v>
      </c>
      <c r="I132" s="6">
        <v>44774</v>
      </c>
      <c r="J132" s="4">
        <v>0</v>
      </c>
      <c r="K132" s="4">
        <v>0</v>
      </c>
      <c r="L132" s="4">
        <v>15.704000000000001</v>
      </c>
      <c r="M132" s="4">
        <v>15.704000000000001</v>
      </c>
      <c r="N132" s="4">
        <v>15.704000000000001</v>
      </c>
      <c r="O132" s="4">
        <v>15.704000000000001</v>
      </c>
      <c r="P132" s="4">
        <v>59</v>
      </c>
      <c r="Q132" s="3" t="s">
        <v>26</v>
      </c>
      <c r="R132" s="3">
        <v>0</v>
      </c>
      <c r="S132" s="3" t="s">
        <v>164</v>
      </c>
      <c r="T132" s="3" t="s">
        <v>325</v>
      </c>
      <c r="U132" s="3">
        <v>0</v>
      </c>
      <c r="V132" s="3">
        <v>20</v>
      </c>
      <c r="W132" s="3">
        <v>58</v>
      </c>
    </row>
    <row r="133" spans="1:23" ht="11.25" customHeight="1" x14ac:dyDescent="0.3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31</v>
      </c>
      <c r="F133" s="3" t="s">
        <v>25</v>
      </c>
      <c r="G133" s="3" t="s">
        <v>25</v>
      </c>
      <c r="H133" s="3" t="s">
        <v>25</v>
      </c>
      <c r="I133" s="6">
        <v>44440</v>
      </c>
      <c r="J133" s="4">
        <v>0</v>
      </c>
      <c r="K133" s="4">
        <v>0</v>
      </c>
      <c r="L133" s="4">
        <v>8.66</v>
      </c>
      <c r="M133" s="4">
        <v>8.66</v>
      </c>
      <c r="N133" s="4">
        <v>8.66</v>
      </c>
      <c r="O133" s="4">
        <v>8.66</v>
      </c>
      <c r="P133" s="4">
        <v>94</v>
      </c>
      <c r="Q133" s="3" t="s">
        <v>26</v>
      </c>
      <c r="R133" s="3">
        <v>0</v>
      </c>
      <c r="S133" s="3" t="s">
        <v>165</v>
      </c>
      <c r="T133" s="3" t="s">
        <v>326</v>
      </c>
      <c r="U133" s="3">
        <v>0</v>
      </c>
      <c r="V133" s="3">
        <v>21</v>
      </c>
      <c r="W133" s="3">
        <v>59</v>
      </c>
    </row>
    <row r="134" spans="1:23" ht="11.25" customHeight="1" x14ac:dyDescent="0.3">
      <c r="A134" s="3" t="s">
        <v>27</v>
      </c>
      <c r="B134" s="3" t="s">
        <v>22</v>
      </c>
      <c r="C134" s="3" t="s">
        <v>23</v>
      </c>
      <c r="D134" s="3" t="s">
        <v>24</v>
      </c>
      <c r="E134" s="3" t="s">
        <v>31</v>
      </c>
      <c r="F134" s="3" t="s">
        <v>25</v>
      </c>
      <c r="G134" s="3" t="s">
        <v>25</v>
      </c>
      <c r="H134" s="3" t="s">
        <v>25</v>
      </c>
      <c r="I134" s="6">
        <v>44440</v>
      </c>
      <c r="J134" s="4">
        <v>0</v>
      </c>
      <c r="K134" s="4">
        <v>0</v>
      </c>
      <c r="L134" s="4">
        <v>-0.22600000000000001</v>
      </c>
      <c r="M134" s="4">
        <v>-0.22600000000000001</v>
      </c>
      <c r="N134" s="4">
        <v>-0.22600000000000001</v>
      </c>
      <c r="O134" s="4">
        <v>-0.22600000000000001</v>
      </c>
      <c r="P134" s="4">
        <v>0</v>
      </c>
      <c r="Q134" s="3" t="s">
        <v>26</v>
      </c>
      <c r="R134" s="3">
        <v>0</v>
      </c>
      <c r="S134" s="3" t="s">
        <v>165</v>
      </c>
      <c r="T134" s="3" t="s">
        <v>326</v>
      </c>
      <c r="U134" s="3">
        <v>0</v>
      </c>
      <c r="V134" s="3">
        <v>21</v>
      </c>
      <c r="W134" s="3">
        <v>59</v>
      </c>
    </row>
    <row r="135" spans="1:23" ht="11.25" customHeight="1" x14ac:dyDescent="0.3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31</v>
      </c>
      <c r="F135" s="3" t="s">
        <v>25</v>
      </c>
      <c r="G135" s="3" t="s">
        <v>25</v>
      </c>
      <c r="H135" s="3" t="s">
        <v>25</v>
      </c>
      <c r="I135" s="6">
        <v>44470</v>
      </c>
      <c r="J135" s="4">
        <v>0</v>
      </c>
      <c r="K135" s="4">
        <v>0</v>
      </c>
      <c r="L135" s="4">
        <v>9.8420000000000005</v>
      </c>
      <c r="M135" s="4">
        <v>9.8420000000000005</v>
      </c>
      <c r="N135" s="4">
        <v>9.8420000000000005</v>
      </c>
      <c r="O135" s="4">
        <v>9.8420000000000005</v>
      </c>
      <c r="P135" s="4">
        <v>91</v>
      </c>
      <c r="Q135" s="3" t="s">
        <v>26</v>
      </c>
      <c r="R135" s="3">
        <v>0</v>
      </c>
      <c r="S135" s="3" t="s">
        <v>166</v>
      </c>
      <c r="T135" s="3" t="s">
        <v>327</v>
      </c>
      <c r="U135" s="3">
        <v>0</v>
      </c>
      <c r="V135" s="3">
        <v>21</v>
      </c>
      <c r="W135" s="3">
        <v>59</v>
      </c>
    </row>
    <row r="136" spans="1:23" ht="11.25" customHeight="1" x14ac:dyDescent="0.3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31</v>
      </c>
      <c r="F136" s="3" t="s">
        <v>25</v>
      </c>
      <c r="G136" s="3" t="s">
        <v>25</v>
      </c>
      <c r="H136" s="3" t="s">
        <v>25</v>
      </c>
      <c r="I136" s="6">
        <v>44501</v>
      </c>
      <c r="J136" s="4">
        <v>0</v>
      </c>
      <c r="K136" s="4">
        <v>0</v>
      </c>
      <c r="L136" s="4">
        <v>9.7710000000000008</v>
      </c>
      <c r="M136" s="4">
        <v>9.7710000000000008</v>
      </c>
      <c r="N136" s="4">
        <v>9.7710000000000008</v>
      </c>
      <c r="O136" s="4">
        <v>9.7710000000000008</v>
      </c>
      <c r="P136" s="4">
        <v>93</v>
      </c>
      <c r="Q136" s="3" t="s">
        <v>26</v>
      </c>
      <c r="R136" s="3">
        <v>0</v>
      </c>
      <c r="S136" s="3" t="s">
        <v>167</v>
      </c>
      <c r="T136" s="3" t="s">
        <v>328</v>
      </c>
      <c r="U136" s="3">
        <v>0</v>
      </c>
      <c r="V136" s="3">
        <v>21</v>
      </c>
      <c r="W136" s="3">
        <v>59</v>
      </c>
    </row>
    <row r="137" spans="1:23" ht="11.25" customHeight="1" x14ac:dyDescent="0.3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31</v>
      </c>
      <c r="F137" s="3" t="s">
        <v>25</v>
      </c>
      <c r="G137" s="3" t="s">
        <v>25</v>
      </c>
      <c r="H137" s="3" t="s">
        <v>25</v>
      </c>
      <c r="I137" s="6">
        <v>44531</v>
      </c>
      <c r="J137" s="4">
        <v>0</v>
      </c>
      <c r="K137" s="4">
        <v>0</v>
      </c>
      <c r="L137" s="4">
        <v>10.201000000000001</v>
      </c>
      <c r="M137" s="4">
        <v>10.201000000000001</v>
      </c>
      <c r="N137" s="4">
        <v>10.201000000000001</v>
      </c>
      <c r="O137" s="4">
        <v>10.201000000000001</v>
      </c>
      <c r="P137" s="4">
        <v>100</v>
      </c>
      <c r="Q137" s="3" t="s">
        <v>26</v>
      </c>
      <c r="R137" s="3">
        <v>0</v>
      </c>
      <c r="S137" s="3" t="s">
        <v>168</v>
      </c>
      <c r="T137" s="3" t="s">
        <v>329</v>
      </c>
      <c r="U137" s="3">
        <v>0</v>
      </c>
      <c r="V137" s="3">
        <v>21</v>
      </c>
      <c r="W137" s="3">
        <v>59</v>
      </c>
    </row>
    <row r="138" spans="1:23" ht="11.25" customHeight="1" x14ac:dyDescent="0.3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31</v>
      </c>
      <c r="F138" s="3" t="s">
        <v>25</v>
      </c>
      <c r="G138" s="3" t="s">
        <v>25</v>
      </c>
      <c r="H138" s="3" t="s">
        <v>25</v>
      </c>
      <c r="I138" s="6">
        <v>44562</v>
      </c>
      <c r="J138" s="4">
        <v>0</v>
      </c>
      <c r="K138" s="4">
        <v>0</v>
      </c>
      <c r="L138" s="4">
        <v>11.513999999999999</v>
      </c>
      <c r="M138" s="4">
        <v>11.513999999999999</v>
      </c>
      <c r="N138" s="4">
        <v>11.513999999999999</v>
      </c>
      <c r="O138" s="4">
        <v>11.513999999999999</v>
      </c>
      <c r="P138" s="4">
        <v>88</v>
      </c>
      <c r="Q138" s="3" t="s">
        <v>26</v>
      </c>
      <c r="R138" s="3">
        <v>0</v>
      </c>
      <c r="S138" s="3" t="s">
        <v>169</v>
      </c>
      <c r="T138" s="3" t="s">
        <v>330</v>
      </c>
      <c r="U138" s="3">
        <v>0</v>
      </c>
      <c r="V138" s="3">
        <v>21</v>
      </c>
      <c r="W138" s="3">
        <v>59</v>
      </c>
    </row>
    <row r="139" spans="1:23" ht="11.25" customHeight="1" x14ac:dyDescent="0.3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31</v>
      </c>
      <c r="F139" s="3" t="s">
        <v>25</v>
      </c>
      <c r="G139" s="3" t="s">
        <v>25</v>
      </c>
      <c r="H139" s="3" t="s">
        <v>25</v>
      </c>
      <c r="I139" s="6">
        <v>44593</v>
      </c>
      <c r="J139" s="4">
        <v>0</v>
      </c>
      <c r="K139" s="4">
        <v>0</v>
      </c>
      <c r="L139" s="4">
        <v>14.289</v>
      </c>
      <c r="M139" s="4">
        <v>14.289</v>
      </c>
      <c r="N139" s="4">
        <v>14.289</v>
      </c>
      <c r="O139" s="4">
        <v>14.289</v>
      </c>
      <c r="P139" s="4">
        <v>85</v>
      </c>
      <c r="Q139" s="3" t="s">
        <v>26</v>
      </c>
      <c r="R139" s="3">
        <v>0</v>
      </c>
      <c r="S139" s="3" t="s">
        <v>170</v>
      </c>
      <c r="T139" s="3" t="s">
        <v>331</v>
      </c>
      <c r="U139" s="3">
        <v>0</v>
      </c>
      <c r="V139" s="3">
        <v>21</v>
      </c>
      <c r="W139" s="3">
        <v>59</v>
      </c>
    </row>
    <row r="140" spans="1:23" ht="11.25" customHeight="1" x14ac:dyDescent="0.3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31</v>
      </c>
      <c r="F140" s="3" t="s">
        <v>25</v>
      </c>
      <c r="G140" s="3" t="s">
        <v>25</v>
      </c>
      <c r="H140" s="3" t="s">
        <v>25</v>
      </c>
      <c r="I140" s="6">
        <v>44621</v>
      </c>
      <c r="J140" s="4">
        <v>0</v>
      </c>
      <c r="K140" s="4">
        <v>0</v>
      </c>
      <c r="L140" s="4">
        <v>14.22</v>
      </c>
      <c r="M140" s="4">
        <v>14.22</v>
      </c>
      <c r="N140" s="4">
        <v>14.22</v>
      </c>
      <c r="O140" s="4">
        <v>14.22</v>
      </c>
      <c r="P140" s="4">
        <v>118</v>
      </c>
      <c r="Q140" s="3" t="s">
        <v>26</v>
      </c>
      <c r="R140" s="3">
        <v>0</v>
      </c>
      <c r="S140" s="3" t="s">
        <v>171</v>
      </c>
      <c r="T140" s="3" t="s">
        <v>332</v>
      </c>
      <c r="U140" s="3">
        <v>0</v>
      </c>
      <c r="V140" s="3">
        <v>21</v>
      </c>
      <c r="W140" s="3">
        <v>59</v>
      </c>
    </row>
    <row r="141" spans="1:23" ht="11.25" customHeight="1" x14ac:dyDescent="0.3">
      <c r="A141" s="3" t="s">
        <v>27</v>
      </c>
      <c r="B141" s="3" t="s">
        <v>22</v>
      </c>
      <c r="C141" s="3" t="s">
        <v>23</v>
      </c>
      <c r="D141" s="3" t="s">
        <v>24</v>
      </c>
      <c r="E141" s="3" t="s">
        <v>31</v>
      </c>
      <c r="F141" s="3" t="s">
        <v>25</v>
      </c>
      <c r="G141" s="3" t="s">
        <v>25</v>
      </c>
      <c r="H141" s="3" t="s">
        <v>25</v>
      </c>
      <c r="I141" s="6">
        <v>44621</v>
      </c>
      <c r="J141" s="4">
        <v>0</v>
      </c>
      <c r="K141" s="4">
        <v>0</v>
      </c>
      <c r="L141" s="4">
        <v>-0.14499999999999999</v>
      </c>
      <c r="M141" s="4">
        <v>-0.14499999999999999</v>
      </c>
      <c r="N141" s="4">
        <v>-0.14499999999999999</v>
      </c>
      <c r="O141" s="4">
        <v>-0.14499999999999999</v>
      </c>
      <c r="P141" s="4">
        <v>0</v>
      </c>
      <c r="Q141" s="3" t="s">
        <v>26</v>
      </c>
      <c r="R141" s="3">
        <v>0</v>
      </c>
      <c r="S141" s="3" t="s">
        <v>171</v>
      </c>
      <c r="T141" s="3" t="s">
        <v>332</v>
      </c>
      <c r="U141" s="3">
        <v>0</v>
      </c>
      <c r="V141" s="3">
        <v>21</v>
      </c>
      <c r="W141" s="3">
        <v>59</v>
      </c>
    </row>
    <row r="142" spans="1:23" ht="11.25" customHeight="1" x14ac:dyDescent="0.3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31</v>
      </c>
      <c r="F142" s="3" t="s">
        <v>25</v>
      </c>
      <c r="G142" s="3" t="s">
        <v>25</v>
      </c>
      <c r="H142" s="3" t="s">
        <v>25</v>
      </c>
      <c r="I142" s="6">
        <v>44652</v>
      </c>
      <c r="J142" s="4">
        <v>0</v>
      </c>
      <c r="K142" s="4">
        <v>0</v>
      </c>
      <c r="L142" s="4">
        <v>14.488</v>
      </c>
      <c r="M142" s="4">
        <v>14.488</v>
      </c>
      <c r="N142" s="4">
        <v>14.488</v>
      </c>
      <c r="O142" s="4">
        <v>14.488</v>
      </c>
      <c r="P142" s="4">
        <v>134</v>
      </c>
      <c r="Q142" s="3" t="s">
        <v>26</v>
      </c>
      <c r="R142" s="3">
        <v>0</v>
      </c>
      <c r="S142" s="3" t="s">
        <v>172</v>
      </c>
      <c r="T142" s="3" t="s">
        <v>333</v>
      </c>
      <c r="U142" s="3">
        <v>0</v>
      </c>
      <c r="V142" s="3">
        <v>21</v>
      </c>
      <c r="W142" s="3">
        <v>59</v>
      </c>
    </row>
    <row r="143" spans="1:23" ht="11.25" customHeight="1" x14ac:dyDescent="0.3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31</v>
      </c>
      <c r="F143" s="3" t="s">
        <v>25</v>
      </c>
      <c r="G143" s="3" t="s">
        <v>25</v>
      </c>
      <c r="H143" s="3" t="s">
        <v>25</v>
      </c>
      <c r="I143" s="6">
        <v>44682</v>
      </c>
      <c r="J143" s="4">
        <v>0</v>
      </c>
      <c r="K143" s="4">
        <v>0</v>
      </c>
      <c r="L143" s="4">
        <v>12.88</v>
      </c>
      <c r="M143" s="4">
        <v>12.88</v>
      </c>
      <c r="N143" s="4">
        <v>12.88</v>
      </c>
      <c r="O143" s="4">
        <v>12.88</v>
      </c>
      <c r="P143" s="4">
        <v>152</v>
      </c>
      <c r="Q143" s="3" t="s">
        <v>26</v>
      </c>
      <c r="R143" s="3">
        <v>0</v>
      </c>
      <c r="S143" s="3" t="s">
        <v>173</v>
      </c>
      <c r="T143" s="3" t="s">
        <v>334</v>
      </c>
      <c r="U143" s="3">
        <v>0</v>
      </c>
      <c r="V143" s="3">
        <v>21</v>
      </c>
      <c r="W143" s="3">
        <v>59</v>
      </c>
    </row>
    <row r="144" spans="1:23" ht="11.25" customHeight="1" x14ac:dyDescent="0.3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31</v>
      </c>
      <c r="F144" s="3" t="s">
        <v>25</v>
      </c>
      <c r="G144" s="3" t="s">
        <v>25</v>
      </c>
      <c r="H144" s="3" t="s">
        <v>25</v>
      </c>
      <c r="I144" s="6">
        <v>44713</v>
      </c>
      <c r="J144" s="4">
        <v>0</v>
      </c>
      <c r="K144" s="4">
        <v>0</v>
      </c>
      <c r="L144" s="4">
        <v>14.611000000000001</v>
      </c>
      <c r="M144" s="4">
        <v>14.611000000000001</v>
      </c>
      <c r="N144" s="4">
        <v>14.611000000000001</v>
      </c>
      <c r="O144" s="4">
        <v>14.611000000000001</v>
      </c>
      <c r="P144" s="4">
        <v>123</v>
      </c>
      <c r="Q144" s="3" t="s">
        <v>26</v>
      </c>
      <c r="R144" s="3">
        <v>0</v>
      </c>
      <c r="S144" s="3" t="s">
        <v>174</v>
      </c>
      <c r="T144" s="3" t="s">
        <v>335</v>
      </c>
      <c r="U144" s="3">
        <v>0</v>
      </c>
      <c r="V144" s="3">
        <v>21</v>
      </c>
      <c r="W144" s="3">
        <v>59</v>
      </c>
    </row>
    <row r="145" spans="1:23" ht="11.25" customHeight="1" x14ac:dyDescent="0.3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31</v>
      </c>
      <c r="F145" s="3" t="s">
        <v>25</v>
      </c>
      <c r="G145" s="3" t="s">
        <v>25</v>
      </c>
      <c r="H145" s="3" t="s">
        <v>25</v>
      </c>
      <c r="I145" s="6">
        <v>44743</v>
      </c>
      <c r="J145" s="4">
        <v>0</v>
      </c>
      <c r="K145" s="4">
        <v>0</v>
      </c>
      <c r="L145" s="4">
        <v>14.917</v>
      </c>
      <c r="M145" s="4">
        <v>14.917</v>
      </c>
      <c r="N145" s="4">
        <v>14.917</v>
      </c>
      <c r="O145" s="4">
        <v>14.917</v>
      </c>
      <c r="P145" s="4">
        <v>124</v>
      </c>
      <c r="Q145" s="3" t="s">
        <v>26</v>
      </c>
      <c r="R145" s="3">
        <v>0</v>
      </c>
      <c r="S145" s="3" t="s">
        <v>175</v>
      </c>
      <c r="T145" s="3" t="s">
        <v>336</v>
      </c>
      <c r="U145" s="3">
        <v>0</v>
      </c>
      <c r="V145" s="3">
        <v>21</v>
      </c>
      <c r="W145" s="3">
        <v>59</v>
      </c>
    </row>
    <row r="146" spans="1:23" ht="11.25" customHeight="1" x14ac:dyDescent="0.3">
      <c r="A146" s="3" t="s">
        <v>55</v>
      </c>
      <c r="B146" s="3" t="s">
        <v>22</v>
      </c>
      <c r="C146" s="3" t="s">
        <v>23</v>
      </c>
      <c r="D146" s="3" t="s">
        <v>24</v>
      </c>
      <c r="E146" s="3" t="s">
        <v>31</v>
      </c>
      <c r="F146" s="3" t="s">
        <v>25</v>
      </c>
      <c r="G146" s="3" t="s">
        <v>25</v>
      </c>
      <c r="H146" s="3" t="s">
        <v>25</v>
      </c>
      <c r="I146" s="6">
        <v>44774</v>
      </c>
      <c r="J146" s="4">
        <v>0</v>
      </c>
      <c r="K146" s="4">
        <v>0</v>
      </c>
      <c r="L146" s="4">
        <v>14.917</v>
      </c>
      <c r="M146" s="4">
        <v>14.917</v>
      </c>
      <c r="N146" s="4">
        <v>14.917</v>
      </c>
      <c r="O146" s="4">
        <v>14.917</v>
      </c>
      <c r="P146" s="4">
        <v>124</v>
      </c>
      <c r="Q146" s="3" t="s">
        <v>26</v>
      </c>
      <c r="R146" s="3">
        <v>0</v>
      </c>
      <c r="S146" s="3" t="s">
        <v>176</v>
      </c>
      <c r="T146" s="3" t="s">
        <v>337</v>
      </c>
      <c r="U146" s="3">
        <v>0</v>
      </c>
      <c r="V146" s="3">
        <v>21</v>
      </c>
      <c r="W146" s="3">
        <v>59</v>
      </c>
    </row>
    <row r="147" spans="1:23" ht="11.25" customHeight="1" x14ac:dyDescent="0.3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32</v>
      </c>
      <c r="F147" s="3" t="s">
        <v>25</v>
      </c>
      <c r="G147" s="3" t="s">
        <v>25</v>
      </c>
      <c r="H147" s="3" t="s">
        <v>25</v>
      </c>
      <c r="I147" s="6">
        <v>44440</v>
      </c>
      <c r="J147" s="4">
        <v>0</v>
      </c>
      <c r="K147" s="4">
        <v>0</v>
      </c>
      <c r="L147" s="4">
        <v>1.9179999999999999</v>
      </c>
      <c r="M147" s="4">
        <v>1.9179999999999999</v>
      </c>
      <c r="N147" s="4">
        <v>1.9179999999999999</v>
      </c>
      <c r="O147" s="4">
        <v>1.9179999999999999</v>
      </c>
      <c r="P147" s="4">
        <v>30</v>
      </c>
      <c r="Q147" s="3" t="s">
        <v>26</v>
      </c>
      <c r="R147" s="3">
        <v>0</v>
      </c>
      <c r="S147" s="3" t="s">
        <v>177</v>
      </c>
      <c r="T147" s="3" t="s">
        <v>338</v>
      </c>
      <c r="U147" s="3">
        <v>0</v>
      </c>
      <c r="V147" s="3">
        <v>22</v>
      </c>
      <c r="W147" s="3">
        <v>60</v>
      </c>
    </row>
    <row r="148" spans="1:23" ht="11.25" customHeight="1" x14ac:dyDescent="0.3">
      <c r="A148" s="3" t="s">
        <v>27</v>
      </c>
      <c r="B148" s="3" t="s">
        <v>22</v>
      </c>
      <c r="C148" s="3" t="s">
        <v>23</v>
      </c>
      <c r="D148" s="3" t="s">
        <v>24</v>
      </c>
      <c r="E148" s="3" t="s">
        <v>32</v>
      </c>
      <c r="F148" s="3" t="s">
        <v>25</v>
      </c>
      <c r="G148" s="3" t="s">
        <v>25</v>
      </c>
      <c r="H148" s="3" t="s">
        <v>25</v>
      </c>
      <c r="I148" s="6">
        <v>44440</v>
      </c>
      <c r="J148" s="4">
        <v>0</v>
      </c>
      <c r="K148" s="4">
        <v>0</v>
      </c>
      <c r="L148" s="4">
        <v>-8.9999999999999993E-3</v>
      </c>
      <c r="M148" s="4">
        <v>-8.9999999999999993E-3</v>
      </c>
      <c r="N148" s="4">
        <v>-8.9999999999999993E-3</v>
      </c>
      <c r="O148" s="4">
        <v>-8.9999999999999993E-3</v>
      </c>
      <c r="P148" s="4">
        <v>0</v>
      </c>
      <c r="Q148" s="3" t="s">
        <v>26</v>
      </c>
      <c r="R148" s="3">
        <v>0</v>
      </c>
      <c r="S148" s="3" t="s">
        <v>177</v>
      </c>
      <c r="T148" s="3" t="s">
        <v>338</v>
      </c>
      <c r="U148" s="3">
        <v>0</v>
      </c>
      <c r="V148" s="3">
        <v>22</v>
      </c>
      <c r="W148" s="3">
        <v>60</v>
      </c>
    </row>
    <row r="149" spans="1:23" ht="11.25" customHeight="1" x14ac:dyDescent="0.3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32</v>
      </c>
      <c r="F149" s="3" t="s">
        <v>25</v>
      </c>
      <c r="G149" s="3" t="s">
        <v>25</v>
      </c>
      <c r="H149" s="3" t="s">
        <v>25</v>
      </c>
      <c r="I149" s="6">
        <v>44470</v>
      </c>
      <c r="J149" s="4">
        <v>0</v>
      </c>
      <c r="K149" s="4">
        <v>0</v>
      </c>
      <c r="L149" s="4">
        <v>3.2509999999999999</v>
      </c>
      <c r="M149" s="4">
        <v>3.2509999999999999</v>
      </c>
      <c r="N149" s="4">
        <v>3.2509999999999999</v>
      </c>
      <c r="O149" s="4">
        <v>3.2509999999999999</v>
      </c>
      <c r="P149" s="4">
        <v>39</v>
      </c>
      <c r="Q149" s="3" t="s">
        <v>26</v>
      </c>
      <c r="R149" s="3">
        <v>0</v>
      </c>
      <c r="S149" s="3" t="s">
        <v>178</v>
      </c>
      <c r="T149" s="3" t="s">
        <v>339</v>
      </c>
      <c r="U149" s="3">
        <v>0</v>
      </c>
      <c r="V149" s="3">
        <v>22</v>
      </c>
      <c r="W149" s="3">
        <v>60</v>
      </c>
    </row>
    <row r="150" spans="1:23" ht="11.25" customHeight="1" x14ac:dyDescent="0.3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32</v>
      </c>
      <c r="F150" s="3" t="s">
        <v>25</v>
      </c>
      <c r="G150" s="3" t="s">
        <v>25</v>
      </c>
      <c r="H150" s="3" t="s">
        <v>25</v>
      </c>
      <c r="I150" s="6">
        <v>44501</v>
      </c>
      <c r="J150" s="4">
        <v>0</v>
      </c>
      <c r="K150" s="4">
        <v>0</v>
      </c>
      <c r="L150" s="4">
        <v>2.9319999999999999</v>
      </c>
      <c r="M150" s="4">
        <v>2.9319999999999999</v>
      </c>
      <c r="N150" s="4">
        <v>2.9319999999999999</v>
      </c>
      <c r="O150" s="4">
        <v>2.9319999999999999</v>
      </c>
      <c r="P150" s="4">
        <v>36</v>
      </c>
      <c r="Q150" s="3" t="s">
        <v>26</v>
      </c>
      <c r="R150" s="3">
        <v>0</v>
      </c>
      <c r="S150" s="3" t="s">
        <v>179</v>
      </c>
      <c r="T150" s="3" t="s">
        <v>340</v>
      </c>
      <c r="U150" s="3">
        <v>0</v>
      </c>
      <c r="V150" s="3">
        <v>22</v>
      </c>
      <c r="W150" s="3">
        <v>60</v>
      </c>
    </row>
    <row r="151" spans="1:23" ht="11.25" customHeight="1" x14ac:dyDescent="0.3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32</v>
      </c>
      <c r="F151" s="3" t="s">
        <v>25</v>
      </c>
      <c r="G151" s="3" t="s">
        <v>25</v>
      </c>
      <c r="H151" s="3" t="s">
        <v>25</v>
      </c>
      <c r="I151" s="6">
        <v>44531</v>
      </c>
      <c r="J151" s="4">
        <v>0</v>
      </c>
      <c r="K151" s="4">
        <v>0</v>
      </c>
      <c r="L151" s="4">
        <v>2.6139999999999999</v>
      </c>
      <c r="M151" s="4">
        <v>2.6139999999999999</v>
      </c>
      <c r="N151" s="4">
        <v>2.6139999999999999</v>
      </c>
      <c r="O151" s="4">
        <v>2.6139999999999999</v>
      </c>
      <c r="P151" s="4">
        <v>34</v>
      </c>
      <c r="Q151" s="3" t="s">
        <v>26</v>
      </c>
      <c r="R151" s="3">
        <v>0</v>
      </c>
      <c r="S151" s="3" t="s">
        <v>180</v>
      </c>
      <c r="T151" s="3" t="s">
        <v>341</v>
      </c>
      <c r="U151" s="3">
        <v>0</v>
      </c>
      <c r="V151" s="3">
        <v>22</v>
      </c>
      <c r="W151" s="3">
        <v>60</v>
      </c>
    </row>
    <row r="152" spans="1:23" ht="11.25" customHeight="1" x14ac:dyDescent="0.3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32</v>
      </c>
      <c r="F152" s="3" t="s">
        <v>25</v>
      </c>
      <c r="G152" s="3" t="s">
        <v>25</v>
      </c>
      <c r="H152" s="3" t="s">
        <v>25</v>
      </c>
      <c r="I152" s="6">
        <v>44562</v>
      </c>
      <c r="J152" s="4">
        <v>0</v>
      </c>
      <c r="K152" s="4">
        <v>0</v>
      </c>
      <c r="L152" s="4">
        <v>4.2629999999999999</v>
      </c>
      <c r="M152" s="4">
        <v>4.2629999999999999</v>
      </c>
      <c r="N152" s="4">
        <v>4.2629999999999999</v>
      </c>
      <c r="O152" s="4">
        <v>4.2629999999999999</v>
      </c>
      <c r="P152" s="4">
        <v>53</v>
      </c>
      <c r="Q152" s="3" t="s">
        <v>26</v>
      </c>
      <c r="R152" s="3">
        <v>0</v>
      </c>
      <c r="S152" s="3" t="s">
        <v>181</v>
      </c>
      <c r="T152" s="3" t="s">
        <v>342</v>
      </c>
      <c r="U152" s="3">
        <v>0</v>
      </c>
      <c r="V152" s="3">
        <v>22</v>
      </c>
      <c r="W152" s="3">
        <v>60</v>
      </c>
    </row>
    <row r="153" spans="1:23" ht="11.25" customHeight="1" x14ac:dyDescent="0.3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32</v>
      </c>
      <c r="F153" s="3" t="s">
        <v>25</v>
      </c>
      <c r="G153" s="3" t="s">
        <v>25</v>
      </c>
      <c r="H153" s="3" t="s">
        <v>25</v>
      </c>
      <c r="I153" s="6">
        <v>44593</v>
      </c>
      <c r="J153" s="4">
        <v>0</v>
      </c>
      <c r="K153" s="4">
        <v>0</v>
      </c>
      <c r="L153" s="4">
        <v>9.2530000000000001</v>
      </c>
      <c r="M153" s="4">
        <v>9.2530000000000001</v>
      </c>
      <c r="N153" s="4">
        <v>9.2530000000000001</v>
      </c>
      <c r="O153" s="4">
        <v>9.2530000000000001</v>
      </c>
      <c r="P153" s="4">
        <v>76</v>
      </c>
      <c r="Q153" s="3" t="s">
        <v>26</v>
      </c>
      <c r="R153" s="3">
        <v>0</v>
      </c>
      <c r="S153" s="3" t="s">
        <v>182</v>
      </c>
      <c r="T153" s="3" t="s">
        <v>343</v>
      </c>
      <c r="U153" s="3">
        <v>0</v>
      </c>
      <c r="V153" s="3">
        <v>22</v>
      </c>
      <c r="W153" s="3">
        <v>60</v>
      </c>
    </row>
    <row r="154" spans="1:23" ht="11.25" customHeight="1" x14ac:dyDescent="0.3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32</v>
      </c>
      <c r="F154" s="3" t="s">
        <v>25</v>
      </c>
      <c r="G154" s="3" t="s">
        <v>25</v>
      </c>
      <c r="H154" s="3" t="s">
        <v>25</v>
      </c>
      <c r="I154" s="6">
        <v>44621</v>
      </c>
      <c r="J154" s="4">
        <v>0</v>
      </c>
      <c r="K154" s="4">
        <v>0</v>
      </c>
      <c r="L154" s="4">
        <v>5.7759999999999998</v>
      </c>
      <c r="M154" s="4">
        <v>5.7759999999999998</v>
      </c>
      <c r="N154" s="4">
        <v>5.7759999999999998</v>
      </c>
      <c r="O154" s="4">
        <v>5.7759999999999998</v>
      </c>
      <c r="P154" s="4">
        <v>66</v>
      </c>
      <c r="Q154" s="3" t="s">
        <v>26</v>
      </c>
      <c r="R154" s="3">
        <v>0</v>
      </c>
      <c r="S154" s="3" t="s">
        <v>183</v>
      </c>
      <c r="T154" s="3" t="s">
        <v>344</v>
      </c>
      <c r="U154" s="3">
        <v>0</v>
      </c>
      <c r="V154" s="3">
        <v>22</v>
      </c>
      <c r="W154" s="3">
        <v>60</v>
      </c>
    </row>
    <row r="155" spans="1:23" ht="11.25" customHeight="1" x14ac:dyDescent="0.3">
      <c r="A155" s="3" t="s">
        <v>27</v>
      </c>
      <c r="B155" s="3" t="s">
        <v>22</v>
      </c>
      <c r="C155" s="3" t="s">
        <v>23</v>
      </c>
      <c r="D155" s="3" t="s">
        <v>24</v>
      </c>
      <c r="E155" s="3" t="s">
        <v>32</v>
      </c>
      <c r="F155" s="3" t="s">
        <v>25</v>
      </c>
      <c r="G155" s="3" t="s">
        <v>25</v>
      </c>
      <c r="H155" s="3" t="s">
        <v>25</v>
      </c>
      <c r="I155" s="6">
        <v>44621</v>
      </c>
      <c r="J155" s="4">
        <v>0</v>
      </c>
      <c r="K155" s="4">
        <v>0</v>
      </c>
      <c r="L155" s="4">
        <v>-0.21</v>
      </c>
      <c r="M155" s="4">
        <v>-0.21</v>
      </c>
      <c r="N155" s="4">
        <v>-0.21</v>
      </c>
      <c r="O155" s="4">
        <v>-0.21</v>
      </c>
      <c r="P155" s="4">
        <v>0</v>
      </c>
      <c r="Q155" s="3" t="s">
        <v>26</v>
      </c>
      <c r="R155" s="3">
        <v>0</v>
      </c>
      <c r="S155" s="3" t="s">
        <v>183</v>
      </c>
      <c r="T155" s="3" t="s">
        <v>344</v>
      </c>
      <c r="U155" s="3">
        <v>0</v>
      </c>
      <c r="V155" s="3">
        <v>22</v>
      </c>
      <c r="W155" s="3">
        <v>60</v>
      </c>
    </row>
    <row r="156" spans="1:23" ht="11.25" customHeight="1" x14ac:dyDescent="0.3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32</v>
      </c>
      <c r="F156" s="3" t="s">
        <v>25</v>
      </c>
      <c r="G156" s="3" t="s">
        <v>25</v>
      </c>
      <c r="H156" s="3" t="s">
        <v>25</v>
      </c>
      <c r="I156" s="6">
        <v>44652</v>
      </c>
      <c r="J156" s="4">
        <v>0</v>
      </c>
      <c r="K156" s="4">
        <v>0</v>
      </c>
      <c r="L156" s="4">
        <v>4.3879999999999999</v>
      </c>
      <c r="M156" s="4">
        <v>4.3879999999999999</v>
      </c>
      <c r="N156" s="4">
        <v>4.3879999999999999</v>
      </c>
      <c r="O156" s="4">
        <v>4.3879999999999999</v>
      </c>
      <c r="P156" s="4">
        <v>57</v>
      </c>
      <c r="Q156" s="3" t="s">
        <v>26</v>
      </c>
      <c r="R156" s="3">
        <v>0</v>
      </c>
      <c r="S156" s="3" t="s">
        <v>184</v>
      </c>
      <c r="T156" s="3" t="s">
        <v>345</v>
      </c>
      <c r="U156" s="3">
        <v>0</v>
      </c>
      <c r="V156" s="3">
        <v>22</v>
      </c>
      <c r="W156" s="3">
        <v>60</v>
      </c>
    </row>
    <row r="157" spans="1:23" ht="11.25" customHeight="1" x14ac:dyDescent="0.3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32</v>
      </c>
      <c r="F157" s="3" t="s">
        <v>25</v>
      </c>
      <c r="G157" s="3" t="s">
        <v>25</v>
      </c>
      <c r="H157" s="3" t="s">
        <v>25</v>
      </c>
      <c r="I157" s="6">
        <v>44682</v>
      </c>
      <c r="J157" s="4">
        <v>0</v>
      </c>
      <c r="K157" s="4">
        <v>0</v>
      </c>
      <c r="L157" s="4">
        <v>2.4380000000000002</v>
      </c>
      <c r="M157" s="4">
        <v>2.4380000000000002</v>
      </c>
      <c r="N157" s="4">
        <v>2.4380000000000002</v>
      </c>
      <c r="O157" s="4">
        <v>2.4380000000000002</v>
      </c>
      <c r="P157" s="4">
        <v>37</v>
      </c>
      <c r="Q157" s="3" t="s">
        <v>26</v>
      </c>
      <c r="R157" s="3">
        <v>0</v>
      </c>
      <c r="S157" s="3" t="s">
        <v>185</v>
      </c>
      <c r="T157" s="3" t="s">
        <v>346</v>
      </c>
      <c r="U157" s="3">
        <v>0</v>
      </c>
      <c r="V157" s="3">
        <v>22</v>
      </c>
      <c r="W157" s="3">
        <v>60</v>
      </c>
    </row>
    <row r="158" spans="1:23" ht="11.25" customHeight="1" x14ac:dyDescent="0.3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32</v>
      </c>
      <c r="F158" s="3" t="s">
        <v>25</v>
      </c>
      <c r="G158" s="3" t="s">
        <v>25</v>
      </c>
      <c r="H158" s="3" t="s">
        <v>25</v>
      </c>
      <c r="I158" s="6">
        <v>44713</v>
      </c>
      <c r="J158" s="4">
        <v>0</v>
      </c>
      <c r="K158" s="4">
        <v>0</v>
      </c>
      <c r="L158" s="4">
        <v>3.9569999999999999</v>
      </c>
      <c r="M158" s="4">
        <v>3.9569999999999999</v>
      </c>
      <c r="N158" s="4">
        <v>3.9569999999999999</v>
      </c>
      <c r="O158" s="4">
        <v>3.9569999999999999</v>
      </c>
      <c r="P158" s="4">
        <v>65</v>
      </c>
      <c r="Q158" s="3" t="s">
        <v>26</v>
      </c>
      <c r="R158" s="3">
        <v>0</v>
      </c>
      <c r="S158" s="3" t="s">
        <v>186</v>
      </c>
      <c r="T158" s="3" t="s">
        <v>347</v>
      </c>
      <c r="U158" s="3">
        <v>0</v>
      </c>
      <c r="V158" s="3">
        <v>22</v>
      </c>
      <c r="W158" s="3">
        <v>60</v>
      </c>
    </row>
    <row r="159" spans="1:23" ht="11.25" customHeight="1" x14ac:dyDescent="0.3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32</v>
      </c>
      <c r="F159" s="3" t="s">
        <v>25</v>
      </c>
      <c r="G159" s="3" t="s">
        <v>25</v>
      </c>
      <c r="H159" s="3" t="s">
        <v>25</v>
      </c>
      <c r="I159" s="6">
        <v>44743</v>
      </c>
      <c r="J159" s="4">
        <v>0</v>
      </c>
      <c r="K159" s="4">
        <v>0</v>
      </c>
      <c r="L159" s="4">
        <v>4.8789999999999996</v>
      </c>
      <c r="M159" s="4">
        <v>4.8789999999999996</v>
      </c>
      <c r="N159" s="4">
        <v>4.8789999999999996</v>
      </c>
      <c r="O159" s="4">
        <v>4.8789999999999996</v>
      </c>
      <c r="P159" s="4">
        <v>65</v>
      </c>
      <c r="Q159" s="3" t="s">
        <v>26</v>
      </c>
      <c r="R159" s="3">
        <v>0</v>
      </c>
      <c r="S159" s="3" t="s">
        <v>187</v>
      </c>
      <c r="T159" s="3" t="s">
        <v>348</v>
      </c>
      <c r="U159" s="3">
        <v>0</v>
      </c>
      <c r="V159" s="3">
        <v>22</v>
      </c>
      <c r="W159" s="3">
        <v>60</v>
      </c>
    </row>
    <row r="160" spans="1:23" ht="11.25" customHeight="1" x14ac:dyDescent="0.3">
      <c r="A160" s="3" t="s">
        <v>55</v>
      </c>
      <c r="B160" s="3" t="s">
        <v>22</v>
      </c>
      <c r="C160" s="3" t="s">
        <v>23</v>
      </c>
      <c r="D160" s="3" t="s">
        <v>24</v>
      </c>
      <c r="E160" s="3" t="s">
        <v>32</v>
      </c>
      <c r="F160" s="3" t="s">
        <v>25</v>
      </c>
      <c r="G160" s="3" t="s">
        <v>25</v>
      </c>
      <c r="H160" s="3" t="s">
        <v>25</v>
      </c>
      <c r="I160" s="6">
        <v>44774</v>
      </c>
      <c r="J160" s="4">
        <v>0</v>
      </c>
      <c r="K160" s="4">
        <v>0</v>
      </c>
      <c r="L160" s="4">
        <v>4.8789999999999996</v>
      </c>
      <c r="M160" s="4">
        <v>4.8789999999999996</v>
      </c>
      <c r="N160" s="4">
        <v>4.8789999999999996</v>
      </c>
      <c r="O160" s="4">
        <v>4.8789999999999996</v>
      </c>
      <c r="P160" s="4">
        <v>65</v>
      </c>
      <c r="Q160" s="3" t="s">
        <v>26</v>
      </c>
      <c r="R160" s="3">
        <v>0</v>
      </c>
      <c r="S160" s="3" t="s">
        <v>188</v>
      </c>
      <c r="T160" s="3" t="s">
        <v>349</v>
      </c>
      <c r="U160" s="3">
        <v>0</v>
      </c>
      <c r="V160" s="3">
        <v>22</v>
      </c>
      <c r="W160" s="3">
        <v>60</v>
      </c>
    </row>
    <row r="161" spans="1:23" ht="11.25" customHeight="1" x14ac:dyDescent="0.3">
      <c r="A161" s="3" t="s">
        <v>21</v>
      </c>
      <c r="B161" s="3" t="s">
        <v>42</v>
      </c>
      <c r="C161" s="3" t="s">
        <v>23</v>
      </c>
      <c r="D161" s="3" t="s">
        <v>43</v>
      </c>
      <c r="E161" s="3" t="s">
        <v>51</v>
      </c>
      <c r="F161" s="3" t="s">
        <v>52</v>
      </c>
      <c r="G161" s="3" t="s">
        <v>25</v>
      </c>
      <c r="H161" s="3" t="s">
        <v>25</v>
      </c>
      <c r="I161" s="6">
        <v>44440</v>
      </c>
      <c r="J161" s="4">
        <v>0</v>
      </c>
      <c r="K161" s="4">
        <v>0</v>
      </c>
      <c r="L161" s="4">
        <v>6.2439999999999998</v>
      </c>
      <c r="M161" s="4">
        <v>6.2439999999999998</v>
      </c>
      <c r="N161" s="4">
        <v>6.2439999999999998</v>
      </c>
      <c r="O161" s="4">
        <v>6.2439999999999998</v>
      </c>
      <c r="P161" s="4">
        <v>0</v>
      </c>
      <c r="Q161" s="3" t="s">
        <v>26</v>
      </c>
      <c r="R161" s="3">
        <v>0</v>
      </c>
      <c r="S161" s="3" t="s">
        <v>189</v>
      </c>
      <c r="T161" s="3" t="s">
        <v>350</v>
      </c>
      <c r="U161" s="3">
        <v>0</v>
      </c>
      <c r="V161" s="3">
        <v>31</v>
      </c>
      <c r="W161" s="3">
        <v>69</v>
      </c>
    </row>
    <row r="162" spans="1:23" ht="11.25" customHeight="1" x14ac:dyDescent="0.3">
      <c r="A162" s="3" t="s">
        <v>21</v>
      </c>
      <c r="B162" s="3" t="s">
        <v>42</v>
      </c>
      <c r="C162" s="3" t="s">
        <v>23</v>
      </c>
      <c r="D162" s="3" t="s">
        <v>43</v>
      </c>
      <c r="E162" s="3" t="s">
        <v>51</v>
      </c>
      <c r="F162" s="3" t="s">
        <v>52</v>
      </c>
      <c r="G162" s="3" t="s">
        <v>25</v>
      </c>
      <c r="H162" s="3" t="s">
        <v>25</v>
      </c>
      <c r="I162" s="6">
        <v>44470</v>
      </c>
      <c r="J162" s="4">
        <v>0</v>
      </c>
      <c r="K162" s="4">
        <v>0</v>
      </c>
      <c r="L162" s="4">
        <v>7.9189999999999996</v>
      </c>
      <c r="M162" s="4">
        <v>7.9189999999999996</v>
      </c>
      <c r="N162" s="4">
        <v>7.9189999999999996</v>
      </c>
      <c r="O162" s="4">
        <v>7.9189999999999996</v>
      </c>
      <c r="P162" s="4">
        <v>0</v>
      </c>
      <c r="Q162" s="3" t="s">
        <v>26</v>
      </c>
      <c r="R162" s="3">
        <v>0</v>
      </c>
      <c r="S162" s="3" t="s">
        <v>190</v>
      </c>
      <c r="T162" s="3" t="s">
        <v>351</v>
      </c>
      <c r="U162" s="3">
        <v>0</v>
      </c>
      <c r="V162" s="3">
        <v>31</v>
      </c>
      <c r="W162" s="3">
        <v>69</v>
      </c>
    </row>
    <row r="163" spans="1:23" ht="11.25" customHeight="1" x14ac:dyDescent="0.3">
      <c r="A163" s="3" t="s">
        <v>27</v>
      </c>
      <c r="B163" s="3" t="s">
        <v>42</v>
      </c>
      <c r="C163" s="3" t="s">
        <v>23</v>
      </c>
      <c r="D163" s="3" t="s">
        <v>43</v>
      </c>
      <c r="E163" s="3" t="s">
        <v>51</v>
      </c>
      <c r="F163" s="3" t="s">
        <v>52</v>
      </c>
      <c r="G163" s="3" t="s">
        <v>25</v>
      </c>
      <c r="H163" s="3" t="s">
        <v>25</v>
      </c>
      <c r="I163" s="6">
        <v>44470</v>
      </c>
      <c r="J163" s="4">
        <v>0</v>
      </c>
      <c r="K163" s="4">
        <v>0</v>
      </c>
      <c r="L163" s="4">
        <v>-0.1</v>
      </c>
      <c r="M163" s="4">
        <v>-0.1</v>
      </c>
      <c r="N163" s="4">
        <v>-0.1</v>
      </c>
      <c r="O163" s="4">
        <v>-0.1</v>
      </c>
      <c r="P163" s="4">
        <v>0</v>
      </c>
      <c r="Q163" s="3" t="s">
        <v>26</v>
      </c>
      <c r="R163" s="3">
        <v>0</v>
      </c>
      <c r="S163" s="3" t="s">
        <v>190</v>
      </c>
      <c r="T163" s="3" t="s">
        <v>351</v>
      </c>
      <c r="U163" s="3">
        <v>0</v>
      </c>
      <c r="V163" s="3">
        <v>31</v>
      </c>
      <c r="W163" s="3">
        <v>69</v>
      </c>
    </row>
    <row r="164" spans="1:23" ht="11.25" customHeight="1" x14ac:dyDescent="0.3">
      <c r="A164" s="3" t="s">
        <v>21</v>
      </c>
      <c r="B164" s="3" t="s">
        <v>42</v>
      </c>
      <c r="C164" s="3" t="s">
        <v>23</v>
      </c>
      <c r="D164" s="3" t="s">
        <v>43</v>
      </c>
      <c r="E164" s="3" t="s">
        <v>51</v>
      </c>
      <c r="F164" s="3" t="s">
        <v>52</v>
      </c>
      <c r="G164" s="3" t="s">
        <v>25</v>
      </c>
      <c r="H164" s="3" t="s">
        <v>25</v>
      </c>
      <c r="I164" s="6">
        <v>44501</v>
      </c>
      <c r="J164" s="4">
        <v>0</v>
      </c>
      <c r="K164" s="4">
        <v>0</v>
      </c>
      <c r="L164" s="4">
        <v>11.58</v>
      </c>
      <c r="M164" s="4">
        <v>11.58</v>
      </c>
      <c r="N164" s="4">
        <v>11.58</v>
      </c>
      <c r="O164" s="4">
        <v>11.58</v>
      </c>
      <c r="P164" s="4">
        <v>0</v>
      </c>
      <c r="Q164" s="3" t="s">
        <v>26</v>
      </c>
      <c r="R164" s="3">
        <v>0</v>
      </c>
      <c r="S164" s="3" t="s">
        <v>191</v>
      </c>
      <c r="T164" s="3" t="s">
        <v>352</v>
      </c>
      <c r="U164" s="3">
        <v>0</v>
      </c>
      <c r="V164" s="3">
        <v>31</v>
      </c>
      <c r="W164" s="3">
        <v>69</v>
      </c>
    </row>
    <row r="165" spans="1:23" ht="11.25" customHeight="1" x14ac:dyDescent="0.3">
      <c r="A165" s="3" t="s">
        <v>21</v>
      </c>
      <c r="B165" s="3" t="s">
        <v>42</v>
      </c>
      <c r="C165" s="3" t="s">
        <v>23</v>
      </c>
      <c r="D165" s="3" t="s">
        <v>43</v>
      </c>
      <c r="E165" s="3" t="s">
        <v>51</v>
      </c>
      <c r="F165" s="3" t="s">
        <v>52</v>
      </c>
      <c r="G165" s="3" t="s">
        <v>25</v>
      </c>
      <c r="H165" s="3" t="s">
        <v>25</v>
      </c>
      <c r="I165" s="6">
        <v>44531</v>
      </c>
      <c r="J165" s="4">
        <v>0</v>
      </c>
      <c r="K165" s="4">
        <v>0</v>
      </c>
      <c r="L165" s="4">
        <v>8.4139999999999997</v>
      </c>
      <c r="M165" s="4">
        <v>8.4139999999999997</v>
      </c>
      <c r="N165" s="4">
        <v>8.4139999999999997</v>
      </c>
      <c r="O165" s="4">
        <v>8.4139999999999997</v>
      </c>
      <c r="P165" s="4">
        <v>0</v>
      </c>
      <c r="Q165" s="3" t="s">
        <v>26</v>
      </c>
      <c r="R165" s="3">
        <v>0</v>
      </c>
      <c r="S165" s="3" t="s">
        <v>192</v>
      </c>
      <c r="T165" s="3" t="s">
        <v>353</v>
      </c>
      <c r="U165" s="3">
        <v>0</v>
      </c>
      <c r="V165" s="3">
        <v>31</v>
      </c>
      <c r="W165" s="3">
        <v>69</v>
      </c>
    </row>
    <row r="166" spans="1:23" ht="11.25" customHeight="1" x14ac:dyDescent="0.3">
      <c r="A166" s="3" t="s">
        <v>28</v>
      </c>
      <c r="B166" s="3" t="s">
        <v>42</v>
      </c>
      <c r="C166" s="3" t="s">
        <v>23</v>
      </c>
      <c r="D166" s="3" t="s">
        <v>43</v>
      </c>
      <c r="E166" s="3" t="s">
        <v>51</v>
      </c>
      <c r="F166" s="3" t="s">
        <v>52</v>
      </c>
      <c r="G166" s="3" t="s">
        <v>25</v>
      </c>
      <c r="H166" s="3" t="s">
        <v>25</v>
      </c>
      <c r="I166" s="6">
        <v>44531</v>
      </c>
      <c r="J166" s="4">
        <v>0</v>
      </c>
      <c r="K166" s="4">
        <v>0</v>
      </c>
      <c r="L166" s="4">
        <v>0.26500000000000001</v>
      </c>
      <c r="M166" s="4">
        <v>0.26500000000000001</v>
      </c>
      <c r="N166" s="4">
        <v>0.26500000000000001</v>
      </c>
      <c r="O166" s="4">
        <v>0.26500000000000001</v>
      </c>
      <c r="P166" s="4">
        <v>0</v>
      </c>
      <c r="Q166" s="3" t="s">
        <v>26</v>
      </c>
      <c r="R166" s="3">
        <v>0</v>
      </c>
      <c r="S166" s="3" t="s">
        <v>192</v>
      </c>
      <c r="T166" s="3" t="s">
        <v>353</v>
      </c>
      <c r="U166" s="3">
        <v>0</v>
      </c>
      <c r="V166" s="3">
        <v>31</v>
      </c>
      <c r="W166" s="3">
        <v>69</v>
      </c>
    </row>
    <row r="167" spans="1:23" ht="11.25" customHeight="1" x14ac:dyDescent="0.3">
      <c r="A167" s="3" t="s">
        <v>21</v>
      </c>
      <c r="B167" s="3" t="s">
        <v>42</v>
      </c>
      <c r="C167" s="3" t="s">
        <v>23</v>
      </c>
      <c r="D167" s="3" t="s">
        <v>43</v>
      </c>
      <c r="E167" s="3" t="s">
        <v>51</v>
      </c>
      <c r="F167" s="3" t="s">
        <v>52</v>
      </c>
      <c r="G167" s="3" t="s">
        <v>25</v>
      </c>
      <c r="H167" s="3" t="s">
        <v>25</v>
      </c>
      <c r="I167" s="6">
        <v>44562</v>
      </c>
      <c r="J167" s="4">
        <v>0</v>
      </c>
      <c r="K167" s="4">
        <v>0</v>
      </c>
      <c r="L167" s="4">
        <v>19.024999999999999</v>
      </c>
      <c r="M167" s="4">
        <v>19.024999999999999</v>
      </c>
      <c r="N167" s="4">
        <v>19.024999999999999</v>
      </c>
      <c r="O167" s="4">
        <v>19.024999999999999</v>
      </c>
      <c r="P167" s="4">
        <v>0</v>
      </c>
      <c r="Q167" s="3" t="s">
        <v>26</v>
      </c>
      <c r="R167" s="3">
        <v>0</v>
      </c>
      <c r="S167" s="3" t="s">
        <v>193</v>
      </c>
      <c r="T167" s="3" t="s">
        <v>354</v>
      </c>
      <c r="U167" s="3">
        <v>0</v>
      </c>
      <c r="V167" s="3">
        <v>31</v>
      </c>
      <c r="W167" s="3">
        <v>69</v>
      </c>
    </row>
    <row r="168" spans="1:23" ht="11.25" customHeight="1" x14ac:dyDescent="0.3">
      <c r="A168" s="3" t="s">
        <v>27</v>
      </c>
      <c r="B168" s="3" t="s">
        <v>42</v>
      </c>
      <c r="C168" s="3" t="s">
        <v>23</v>
      </c>
      <c r="D168" s="3" t="s">
        <v>43</v>
      </c>
      <c r="E168" s="3" t="s">
        <v>51</v>
      </c>
      <c r="F168" s="3" t="s">
        <v>52</v>
      </c>
      <c r="G168" s="3" t="s">
        <v>25</v>
      </c>
      <c r="H168" s="3" t="s">
        <v>25</v>
      </c>
      <c r="I168" s="6">
        <v>44562</v>
      </c>
      <c r="J168" s="4">
        <v>0</v>
      </c>
      <c r="K168" s="4">
        <v>0</v>
      </c>
      <c r="L168" s="4">
        <v>-3.2789999999999999</v>
      </c>
      <c r="M168" s="4">
        <v>-3.2789999999999999</v>
      </c>
      <c r="N168" s="4">
        <v>-3.2789999999999999</v>
      </c>
      <c r="O168" s="4">
        <v>-3.2789999999999999</v>
      </c>
      <c r="P168" s="4">
        <v>0</v>
      </c>
      <c r="Q168" s="3" t="s">
        <v>26</v>
      </c>
      <c r="R168" s="3">
        <v>0</v>
      </c>
      <c r="S168" s="3" t="s">
        <v>193</v>
      </c>
      <c r="T168" s="3" t="s">
        <v>354</v>
      </c>
      <c r="U168" s="3">
        <v>0</v>
      </c>
      <c r="V168" s="3">
        <v>31</v>
      </c>
      <c r="W168" s="3">
        <v>69</v>
      </c>
    </row>
    <row r="169" spans="1:23" ht="11.25" customHeight="1" x14ac:dyDescent="0.3">
      <c r="A169" s="3" t="s">
        <v>28</v>
      </c>
      <c r="B169" s="3" t="s">
        <v>42</v>
      </c>
      <c r="C169" s="3" t="s">
        <v>23</v>
      </c>
      <c r="D169" s="3" t="s">
        <v>43</v>
      </c>
      <c r="E169" s="3" t="s">
        <v>51</v>
      </c>
      <c r="F169" s="3" t="s">
        <v>52</v>
      </c>
      <c r="G169" s="3" t="s">
        <v>25</v>
      </c>
      <c r="H169" s="3" t="s">
        <v>25</v>
      </c>
      <c r="I169" s="6">
        <v>44562</v>
      </c>
      <c r="J169" s="4">
        <v>0</v>
      </c>
      <c r="K169" s="4">
        <v>0</v>
      </c>
      <c r="L169" s="4">
        <v>0.376</v>
      </c>
      <c r="M169" s="4">
        <v>0.376</v>
      </c>
      <c r="N169" s="4">
        <v>0.376</v>
      </c>
      <c r="O169" s="4">
        <v>0.376</v>
      </c>
      <c r="P169" s="4">
        <v>0</v>
      </c>
      <c r="Q169" s="3" t="s">
        <v>26</v>
      </c>
      <c r="R169" s="3">
        <v>0</v>
      </c>
      <c r="S169" s="3" t="s">
        <v>193</v>
      </c>
      <c r="T169" s="3" t="s">
        <v>354</v>
      </c>
      <c r="U169" s="3">
        <v>0</v>
      </c>
      <c r="V169" s="3">
        <v>31</v>
      </c>
      <c r="W169" s="3">
        <v>69</v>
      </c>
    </row>
    <row r="170" spans="1:23" ht="11.25" customHeight="1" x14ac:dyDescent="0.3">
      <c r="A170" s="3" t="s">
        <v>21</v>
      </c>
      <c r="B170" s="3" t="s">
        <v>42</v>
      </c>
      <c r="C170" s="3" t="s">
        <v>23</v>
      </c>
      <c r="D170" s="3" t="s">
        <v>43</v>
      </c>
      <c r="E170" s="3" t="s">
        <v>51</v>
      </c>
      <c r="F170" s="3" t="s">
        <v>52</v>
      </c>
      <c r="G170" s="3" t="s">
        <v>25</v>
      </c>
      <c r="H170" s="3" t="s">
        <v>25</v>
      </c>
      <c r="I170" s="6">
        <v>44593</v>
      </c>
      <c r="J170" s="4">
        <v>0</v>
      </c>
      <c r="K170" s="4">
        <v>0</v>
      </c>
      <c r="L170" s="4">
        <v>6.173</v>
      </c>
      <c r="M170" s="4">
        <v>6.173</v>
      </c>
      <c r="N170" s="4">
        <v>6.173</v>
      </c>
      <c r="O170" s="4">
        <v>6.173</v>
      </c>
      <c r="P170" s="4">
        <v>0</v>
      </c>
      <c r="Q170" s="3" t="s">
        <v>26</v>
      </c>
      <c r="R170" s="3">
        <v>0</v>
      </c>
      <c r="S170" s="3" t="s">
        <v>194</v>
      </c>
      <c r="T170" s="3" t="s">
        <v>355</v>
      </c>
      <c r="U170" s="3">
        <v>0</v>
      </c>
      <c r="V170" s="3">
        <v>31</v>
      </c>
      <c r="W170" s="3">
        <v>69</v>
      </c>
    </row>
    <row r="171" spans="1:23" ht="11.25" customHeight="1" x14ac:dyDescent="0.3">
      <c r="A171" s="3" t="s">
        <v>28</v>
      </c>
      <c r="B171" s="3" t="s">
        <v>42</v>
      </c>
      <c r="C171" s="3" t="s">
        <v>23</v>
      </c>
      <c r="D171" s="3" t="s">
        <v>43</v>
      </c>
      <c r="E171" s="3" t="s">
        <v>51</v>
      </c>
      <c r="F171" s="3" t="s">
        <v>52</v>
      </c>
      <c r="G171" s="3" t="s">
        <v>25</v>
      </c>
      <c r="H171" s="3" t="s">
        <v>25</v>
      </c>
      <c r="I171" s="6">
        <v>44593</v>
      </c>
      <c r="J171" s="4">
        <v>0</v>
      </c>
      <c r="K171" s="4">
        <v>0</v>
      </c>
      <c r="L171" s="4">
        <v>0.16200000000000001</v>
      </c>
      <c r="M171" s="4">
        <v>0.16200000000000001</v>
      </c>
      <c r="N171" s="4">
        <v>0.16200000000000001</v>
      </c>
      <c r="O171" s="4">
        <v>0.16200000000000001</v>
      </c>
      <c r="P171" s="4">
        <v>0</v>
      </c>
      <c r="Q171" s="3" t="s">
        <v>26</v>
      </c>
      <c r="R171" s="3">
        <v>0</v>
      </c>
      <c r="S171" s="3" t="s">
        <v>194</v>
      </c>
      <c r="T171" s="3" t="s">
        <v>355</v>
      </c>
      <c r="U171" s="3">
        <v>0</v>
      </c>
      <c r="V171" s="3">
        <v>31</v>
      </c>
      <c r="W171" s="3">
        <v>69</v>
      </c>
    </row>
    <row r="172" spans="1:23" ht="11.25" customHeight="1" x14ac:dyDescent="0.3">
      <c r="A172" s="3" t="s">
        <v>21</v>
      </c>
      <c r="B172" s="3" t="s">
        <v>42</v>
      </c>
      <c r="C172" s="3" t="s">
        <v>23</v>
      </c>
      <c r="D172" s="3" t="s">
        <v>43</v>
      </c>
      <c r="E172" s="3" t="s">
        <v>51</v>
      </c>
      <c r="F172" s="3" t="s">
        <v>52</v>
      </c>
      <c r="G172" s="3" t="s">
        <v>25</v>
      </c>
      <c r="H172" s="3" t="s">
        <v>25</v>
      </c>
      <c r="I172" s="6">
        <v>44621</v>
      </c>
      <c r="J172" s="4">
        <v>0</v>
      </c>
      <c r="K172" s="4">
        <v>0</v>
      </c>
      <c r="L172" s="4">
        <v>2.0369999999999999</v>
      </c>
      <c r="M172" s="4">
        <v>2.0369999999999999</v>
      </c>
      <c r="N172" s="4">
        <v>2.0369999999999999</v>
      </c>
      <c r="O172" s="4">
        <v>2.0369999999999999</v>
      </c>
      <c r="P172" s="4">
        <v>0</v>
      </c>
      <c r="Q172" s="3" t="s">
        <v>26</v>
      </c>
      <c r="R172" s="3">
        <v>0</v>
      </c>
      <c r="S172" s="3" t="s">
        <v>195</v>
      </c>
      <c r="T172" s="3" t="s">
        <v>356</v>
      </c>
      <c r="U172" s="3">
        <v>0</v>
      </c>
      <c r="V172" s="3">
        <v>31</v>
      </c>
      <c r="W172" s="3">
        <v>69</v>
      </c>
    </row>
    <row r="173" spans="1:23" ht="11.25" customHeight="1" x14ac:dyDescent="0.3">
      <c r="A173" s="3" t="s">
        <v>28</v>
      </c>
      <c r="B173" s="3" t="s">
        <v>42</v>
      </c>
      <c r="C173" s="3" t="s">
        <v>23</v>
      </c>
      <c r="D173" s="3" t="s">
        <v>43</v>
      </c>
      <c r="E173" s="3" t="s">
        <v>51</v>
      </c>
      <c r="F173" s="3" t="s">
        <v>52</v>
      </c>
      <c r="G173" s="3" t="s">
        <v>25</v>
      </c>
      <c r="H173" s="3" t="s">
        <v>25</v>
      </c>
      <c r="I173" s="6">
        <v>44621</v>
      </c>
      <c r="J173" s="4">
        <v>0</v>
      </c>
      <c r="K173" s="4">
        <v>0</v>
      </c>
      <c r="L173" s="4">
        <v>0.05</v>
      </c>
      <c r="M173" s="4">
        <v>0.05</v>
      </c>
      <c r="N173" s="4">
        <v>0.05</v>
      </c>
      <c r="O173" s="4">
        <v>0.05</v>
      </c>
      <c r="P173" s="4">
        <v>0</v>
      </c>
      <c r="Q173" s="3" t="s">
        <v>26</v>
      </c>
      <c r="R173" s="3">
        <v>0</v>
      </c>
      <c r="S173" s="3" t="s">
        <v>195</v>
      </c>
      <c r="T173" s="3" t="s">
        <v>356</v>
      </c>
      <c r="U173" s="3">
        <v>0</v>
      </c>
      <c r="V173" s="3">
        <v>31</v>
      </c>
      <c r="W173" s="3">
        <v>69</v>
      </c>
    </row>
    <row r="174" spans="1:23" ht="11.25" customHeight="1" x14ac:dyDescent="0.3">
      <c r="A174" s="3" t="s">
        <v>21</v>
      </c>
      <c r="B174" s="3" t="s">
        <v>42</v>
      </c>
      <c r="C174" s="3" t="s">
        <v>23</v>
      </c>
      <c r="D174" s="3" t="s">
        <v>43</v>
      </c>
      <c r="E174" s="3" t="s">
        <v>51</v>
      </c>
      <c r="F174" s="3" t="s">
        <v>52</v>
      </c>
      <c r="G174" s="3" t="s">
        <v>25</v>
      </c>
      <c r="H174" s="3" t="s">
        <v>25</v>
      </c>
      <c r="I174" s="6">
        <v>44652</v>
      </c>
      <c r="J174" s="4">
        <v>0</v>
      </c>
      <c r="K174" s="4">
        <v>0</v>
      </c>
      <c r="L174" s="4">
        <v>0.86</v>
      </c>
      <c r="M174" s="4">
        <v>0.86</v>
      </c>
      <c r="N174" s="4">
        <v>0.86</v>
      </c>
      <c r="O174" s="4">
        <v>0.86</v>
      </c>
      <c r="P174" s="4">
        <v>0</v>
      </c>
      <c r="Q174" s="3" t="s">
        <v>26</v>
      </c>
      <c r="R174" s="3">
        <v>0</v>
      </c>
      <c r="S174" s="3" t="s">
        <v>196</v>
      </c>
      <c r="T174" s="3" t="s">
        <v>357</v>
      </c>
      <c r="U174" s="3">
        <v>0</v>
      </c>
      <c r="V174" s="3">
        <v>31</v>
      </c>
      <c r="W174" s="3">
        <v>69</v>
      </c>
    </row>
    <row r="175" spans="1:23" ht="11.25" customHeight="1" x14ac:dyDescent="0.3">
      <c r="A175" s="3" t="s">
        <v>27</v>
      </c>
      <c r="B175" s="3" t="s">
        <v>42</v>
      </c>
      <c r="C175" s="3" t="s">
        <v>23</v>
      </c>
      <c r="D175" s="3" t="s">
        <v>43</v>
      </c>
      <c r="E175" s="3" t="s">
        <v>51</v>
      </c>
      <c r="F175" s="3" t="s">
        <v>52</v>
      </c>
      <c r="G175" s="3" t="s">
        <v>25</v>
      </c>
      <c r="H175" s="3" t="s">
        <v>25</v>
      </c>
      <c r="I175" s="6">
        <v>44652</v>
      </c>
      <c r="J175" s="4">
        <v>0</v>
      </c>
      <c r="K175" s="4">
        <v>0</v>
      </c>
      <c r="L175" s="4">
        <v>-0.65700000000000003</v>
      </c>
      <c r="M175" s="4">
        <v>-0.65700000000000003</v>
      </c>
      <c r="N175" s="4">
        <v>-0.65700000000000003</v>
      </c>
      <c r="O175" s="4">
        <v>-0.65700000000000003</v>
      </c>
      <c r="P175" s="4">
        <v>0</v>
      </c>
      <c r="Q175" s="3" t="s">
        <v>26</v>
      </c>
      <c r="R175" s="3">
        <v>0</v>
      </c>
      <c r="S175" s="3" t="s">
        <v>196</v>
      </c>
      <c r="T175" s="3" t="s">
        <v>357</v>
      </c>
      <c r="U175" s="3">
        <v>0</v>
      </c>
      <c r="V175" s="3">
        <v>31</v>
      </c>
      <c r="W175" s="3">
        <v>69</v>
      </c>
    </row>
    <row r="176" spans="1:23" ht="11.25" customHeight="1" x14ac:dyDescent="0.3">
      <c r="A176" s="3" t="s">
        <v>21</v>
      </c>
      <c r="B176" s="3" t="s">
        <v>42</v>
      </c>
      <c r="C176" s="3" t="s">
        <v>23</v>
      </c>
      <c r="D176" s="3" t="s">
        <v>43</v>
      </c>
      <c r="E176" s="3" t="s">
        <v>51</v>
      </c>
      <c r="F176" s="3" t="s">
        <v>52</v>
      </c>
      <c r="G176" s="3" t="s">
        <v>25</v>
      </c>
      <c r="H176" s="3" t="s">
        <v>25</v>
      </c>
      <c r="I176" s="6">
        <v>44682</v>
      </c>
      <c r="J176" s="4">
        <v>0</v>
      </c>
      <c r="K176" s="4">
        <v>0</v>
      </c>
      <c r="L176" s="4">
        <v>0.57999999999999996</v>
      </c>
      <c r="M176" s="4">
        <v>0.57999999999999996</v>
      </c>
      <c r="N176" s="4">
        <v>0.57999999999999996</v>
      </c>
      <c r="O176" s="4">
        <v>0.57999999999999996</v>
      </c>
      <c r="P176" s="4">
        <v>0</v>
      </c>
      <c r="Q176" s="3" t="s">
        <v>26</v>
      </c>
      <c r="R176" s="3">
        <v>0</v>
      </c>
      <c r="S176" s="3" t="s">
        <v>197</v>
      </c>
      <c r="T176" s="3" t="s">
        <v>358</v>
      </c>
      <c r="U176" s="3">
        <v>0</v>
      </c>
      <c r="V176" s="3">
        <v>31</v>
      </c>
      <c r="W176" s="3">
        <v>69</v>
      </c>
    </row>
    <row r="177" spans="1:23" ht="11.25" customHeight="1" x14ac:dyDescent="0.3">
      <c r="A177" s="3" t="s">
        <v>27</v>
      </c>
      <c r="B177" s="3" t="s">
        <v>42</v>
      </c>
      <c r="C177" s="3" t="s">
        <v>23</v>
      </c>
      <c r="D177" s="3" t="s">
        <v>43</v>
      </c>
      <c r="E177" s="3" t="s">
        <v>51</v>
      </c>
      <c r="F177" s="3" t="s">
        <v>52</v>
      </c>
      <c r="G177" s="3" t="s">
        <v>25</v>
      </c>
      <c r="H177" s="3" t="s">
        <v>25</v>
      </c>
      <c r="I177" s="6">
        <v>44682</v>
      </c>
      <c r="J177" s="4">
        <v>0</v>
      </c>
      <c r="K177" s="4">
        <v>0</v>
      </c>
      <c r="L177" s="4">
        <v>-9.4E-2</v>
      </c>
      <c r="M177" s="4">
        <v>-9.4E-2</v>
      </c>
      <c r="N177" s="4">
        <v>-9.4E-2</v>
      </c>
      <c r="O177" s="4">
        <v>-9.4E-2</v>
      </c>
      <c r="P177" s="4">
        <v>0</v>
      </c>
      <c r="Q177" s="3" t="s">
        <v>26</v>
      </c>
      <c r="R177" s="3">
        <v>0</v>
      </c>
      <c r="S177" s="3" t="s">
        <v>197</v>
      </c>
      <c r="T177" s="3" t="s">
        <v>358</v>
      </c>
      <c r="U177" s="3">
        <v>0</v>
      </c>
      <c r="V177" s="3">
        <v>31</v>
      </c>
      <c r="W177" s="3">
        <v>69</v>
      </c>
    </row>
    <row r="178" spans="1:23" ht="11.25" customHeight="1" x14ac:dyDescent="0.3">
      <c r="A178" s="3" t="s">
        <v>21</v>
      </c>
      <c r="B178" s="3" t="s">
        <v>42</v>
      </c>
      <c r="C178" s="3" t="s">
        <v>23</v>
      </c>
      <c r="D178" s="3" t="s">
        <v>43</v>
      </c>
      <c r="E178" s="3" t="s">
        <v>51</v>
      </c>
      <c r="F178" s="3" t="s">
        <v>52</v>
      </c>
      <c r="G178" s="3" t="s">
        <v>25</v>
      </c>
      <c r="H178" s="3" t="s">
        <v>25</v>
      </c>
      <c r="I178" s="6">
        <v>44713</v>
      </c>
      <c r="J178" s="4">
        <v>0</v>
      </c>
      <c r="K178" s="4">
        <v>0</v>
      </c>
      <c r="L178" s="4">
        <v>1.6779999999999999</v>
      </c>
      <c r="M178" s="4">
        <v>1.6779999999999999</v>
      </c>
      <c r="N178" s="4">
        <v>1.6779999999999999</v>
      </c>
      <c r="O178" s="4">
        <v>1.6779999999999999</v>
      </c>
      <c r="P178" s="4">
        <v>0</v>
      </c>
      <c r="Q178" s="3" t="s">
        <v>26</v>
      </c>
      <c r="R178" s="3">
        <v>0</v>
      </c>
      <c r="S178" s="3" t="s">
        <v>198</v>
      </c>
      <c r="T178" s="3" t="s">
        <v>359</v>
      </c>
      <c r="U178" s="3">
        <v>0</v>
      </c>
      <c r="V178" s="3">
        <v>31</v>
      </c>
      <c r="W178" s="3">
        <v>69</v>
      </c>
    </row>
    <row r="179" spans="1:23" ht="11.25" customHeight="1" x14ac:dyDescent="0.3">
      <c r="A179" s="3" t="s">
        <v>28</v>
      </c>
      <c r="B179" s="3" t="s">
        <v>42</v>
      </c>
      <c r="C179" s="3" t="s">
        <v>23</v>
      </c>
      <c r="D179" s="3" t="s">
        <v>43</v>
      </c>
      <c r="E179" s="3" t="s">
        <v>51</v>
      </c>
      <c r="F179" s="3" t="s">
        <v>52</v>
      </c>
      <c r="G179" s="3" t="s">
        <v>25</v>
      </c>
      <c r="H179" s="3" t="s">
        <v>25</v>
      </c>
      <c r="I179" s="6">
        <v>44713</v>
      </c>
      <c r="J179" s="4">
        <v>0</v>
      </c>
      <c r="K179" s="4">
        <v>0</v>
      </c>
      <c r="L179" s="4">
        <v>7.2999999999999995E-2</v>
      </c>
      <c r="M179" s="4">
        <v>7.2999999999999995E-2</v>
      </c>
      <c r="N179" s="4">
        <v>7.2999999999999995E-2</v>
      </c>
      <c r="O179" s="4">
        <v>7.2999999999999995E-2</v>
      </c>
      <c r="P179" s="4">
        <v>0</v>
      </c>
      <c r="Q179" s="3" t="s">
        <v>26</v>
      </c>
      <c r="R179" s="3">
        <v>0</v>
      </c>
      <c r="S179" s="3" t="s">
        <v>198</v>
      </c>
      <c r="T179" s="3" t="s">
        <v>359</v>
      </c>
      <c r="U179" s="3">
        <v>0</v>
      </c>
      <c r="V179" s="3">
        <v>31</v>
      </c>
      <c r="W179" s="3">
        <v>69</v>
      </c>
    </row>
    <row r="180" spans="1:23" ht="11.25" customHeight="1" x14ac:dyDescent="0.3">
      <c r="A180" s="3" t="s">
        <v>21</v>
      </c>
      <c r="B180" s="3" t="s">
        <v>42</v>
      </c>
      <c r="C180" s="3" t="s">
        <v>23</v>
      </c>
      <c r="D180" s="3" t="s">
        <v>43</v>
      </c>
      <c r="E180" s="3" t="s">
        <v>51</v>
      </c>
      <c r="F180" s="3" t="s">
        <v>52</v>
      </c>
      <c r="G180" s="3" t="s">
        <v>25</v>
      </c>
      <c r="H180" s="3" t="s">
        <v>25</v>
      </c>
      <c r="I180" s="6">
        <v>44743</v>
      </c>
      <c r="J180" s="4">
        <v>0</v>
      </c>
      <c r="K180" s="4">
        <v>0</v>
      </c>
      <c r="L180" s="4">
        <v>1.625</v>
      </c>
      <c r="M180" s="4">
        <v>1.625</v>
      </c>
      <c r="N180" s="4">
        <v>1.625</v>
      </c>
      <c r="O180" s="4">
        <v>1.625</v>
      </c>
      <c r="P180" s="4">
        <v>0</v>
      </c>
      <c r="Q180" s="3" t="s">
        <v>26</v>
      </c>
      <c r="R180" s="3">
        <v>0</v>
      </c>
      <c r="S180" s="3" t="s">
        <v>199</v>
      </c>
      <c r="T180" s="3" t="s">
        <v>360</v>
      </c>
      <c r="U180" s="3">
        <v>0</v>
      </c>
      <c r="V180" s="3">
        <v>31</v>
      </c>
      <c r="W180" s="3">
        <v>69</v>
      </c>
    </row>
    <row r="181" spans="1:23" ht="11.25" customHeight="1" x14ac:dyDescent="0.3">
      <c r="A181" s="3" t="s">
        <v>55</v>
      </c>
      <c r="B181" s="3" t="s">
        <v>42</v>
      </c>
      <c r="C181" s="3" t="s">
        <v>23</v>
      </c>
      <c r="D181" s="3" t="s">
        <v>43</v>
      </c>
      <c r="E181" s="3" t="s">
        <v>51</v>
      </c>
      <c r="F181" s="3" t="s">
        <v>52</v>
      </c>
      <c r="G181" s="3" t="s">
        <v>25</v>
      </c>
      <c r="H181" s="3" t="s">
        <v>25</v>
      </c>
      <c r="I181" s="6">
        <v>44774</v>
      </c>
      <c r="J181" s="4">
        <v>0</v>
      </c>
      <c r="K181" s="4">
        <v>0</v>
      </c>
      <c r="L181" s="4">
        <v>1.625</v>
      </c>
      <c r="M181" s="4">
        <v>1.625</v>
      </c>
      <c r="N181" s="4">
        <v>1.625</v>
      </c>
      <c r="O181" s="4">
        <v>1.625</v>
      </c>
      <c r="P181" s="4">
        <v>0</v>
      </c>
      <c r="Q181" s="3" t="s">
        <v>26</v>
      </c>
      <c r="R181" s="3">
        <v>0</v>
      </c>
      <c r="S181" s="3" t="s">
        <v>200</v>
      </c>
      <c r="T181" s="3" t="s">
        <v>361</v>
      </c>
      <c r="U181" s="3">
        <v>0</v>
      </c>
      <c r="V181" s="3">
        <v>31</v>
      </c>
      <c r="W181" s="3">
        <v>69</v>
      </c>
    </row>
    <row r="182" spans="1:23" ht="11.25" customHeight="1" x14ac:dyDescent="0.3">
      <c r="A182" s="3" t="s">
        <v>21</v>
      </c>
      <c r="B182" s="3" t="s">
        <v>42</v>
      </c>
      <c r="C182" s="3" t="s">
        <v>23</v>
      </c>
      <c r="D182" s="3" t="s">
        <v>43</v>
      </c>
      <c r="E182" s="3" t="s">
        <v>51</v>
      </c>
      <c r="F182" s="3" t="s">
        <v>53</v>
      </c>
      <c r="G182" s="3" t="s">
        <v>25</v>
      </c>
      <c r="H182" s="3" t="s">
        <v>25</v>
      </c>
      <c r="I182" s="6">
        <v>44440</v>
      </c>
      <c r="J182" s="4">
        <v>0</v>
      </c>
      <c r="K182" s="4">
        <v>0</v>
      </c>
      <c r="L182" s="4">
        <v>6.2990000000000004</v>
      </c>
      <c r="M182" s="4">
        <v>2.5196000000000001</v>
      </c>
      <c r="N182" s="4">
        <v>6.2990000000000004</v>
      </c>
      <c r="O182" s="4">
        <v>2.5196000000000001</v>
      </c>
      <c r="P182" s="4">
        <v>0</v>
      </c>
      <c r="Q182" s="3" t="s">
        <v>26</v>
      </c>
      <c r="R182" s="3">
        <v>0</v>
      </c>
      <c r="S182" s="3" t="s">
        <v>189</v>
      </c>
      <c r="T182" s="3" t="s">
        <v>350</v>
      </c>
      <c r="U182" s="3">
        <v>0</v>
      </c>
      <c r="V182" s="3">
        <v>31</v>
      </c>
      <c r="W182" s="3">
        <v>69</v>
      </c>
    </row>
    <row r="183" spans="1:23" ht="11.25" customHeight="1" x14ac:dyDescent="0.3">
      <c r="A183" s="3" t="s">
        <v>21</v>
      </c>
      <c r="B183" s="3" t="s">
        <v>42</v>
      </c>
      <c r="C183" s="3" t="s">
        <v>23</v>
      </c>
      <c r="D183" s="3" t="s">
        <v>43</v>
      </c>
      <c r="E183" s="3" t="s">
        <v>51</v>
      </c>
      <c r="F183" s="3" t="s">
        <v>53</v>
      </c>
      <c r="G183" s="3" t="s">
        <v>25</v>
      </c>
      <c r="H183" s="3" t="s">
        <v>25</v>
      </c>
      <c r="I183" s="6">
        <v>44470</v>
      </c>
      <c r="J183" s="4">
        <v>0</v>
      </c>
      <c r="K183" s="4">
        <v>0</v>
      </c>
      <c r="L183" s="4">
        <v>4.2409999999999997</v>
      </c>
      <c r="M183" s="4">
        <v>1.6963999999999999</v>
      </c>
      <c r="N183" s="4">
        <v>4.2409999999999997</v>
      </c>
      <c r="O183" s="4">
        <v>1.6963999999999999</v>
      </c>
      <c r="P183" s="4">
        <v>0</v>
      </c>
      <c r="Q183" s="3" t="s">
        <v>26</v>
      </c>
      <c r="R183" s="3">
        <v>0</v>
      </c>
      <c r="S183" s="3" t="s">
        <v>190</v>
      </c>
      <c r="T183" s="3" t="s">
        <v>351</v>
      </c>
      <c r="U183" s="3">
        <v>0</v>
      </c>
      <c r="V183" s="3">
        <v>31</v>
      </c>
      <c r="W183" s="3">
        <v>69</v>
      </c>
    </row>
    <row r="184" spans="1:23" ht="11.25" customHeight="1" x14ac:dyDescent="0.3">
      <c r="A184" s="3" t="s">
        <v>21</v>
      </c>
      <c r="B184" s="3" t="s">
        <v>42</v>
      </c>
      <c r="C184" s="3" t="s">
        <v>23</v>
      </c>
      <c r="D184" s="3" t="s">
        <v>43</v>
      </c>
      <c r="E184" s="3" t="s">
        <v>51</v>
      </c>
      <c r="F184" s="3" t="s">
        <v>53</v>
      </c>
      <c r="G184" s="3" t="s">
        <v>25</v>
      </c>
      <c r="H184" s="3" t="s">
        <v>25</v>
      </c>
      <c r="I184" s="6">
        <v>44501</v>
      </c>
      <c r="J184" s="4">
        <v>0</v>
      </c>
      <c r="K184" s="4">
        <v>0</v>
      </c>
      <c r="L184" s="4">
        <v>14.744</v>
      </c>
      <c r="M184" s="4">
        <v>5.8975999999999997</v>
      </c>
      <c r="N184" s="4">
        <v>14.744</v>
      </c>
      <c r="O184" s="4">
        <v>5.8975999999999997</v>
      </c>
      <c r="P184" s="4">
        <v>0</v>
      </c>
      <c r="Q184" s="3" t="s">
        <v>26</v>
      </c>
      <c r="R184" s="3">
        <v>0</v>
      </c>
      <c r="S184" s="3" t="s">
        <v>191</v>
      </c>
      <c r="T184" s="3" t="s">
        <v>352</v>
      </c>
      <c r="U184" s="3">
        <v>0</v>
      </c>
      <c r="V184" s="3">
        <v>31</v>
      </c>
      <c r="W184" s="3">
        <v>69</v>
      </c>
    </row>
    <row r="185" spans="1:23" ht="11.25" customHeight="1" x14ac:dyDescent="0.3">
      <c r="A185" s="3" t="s">
        <v>21</v>
      </c>
      <c r="B185" s="3" t="s">
        <v>42</v>
      </c>
      <c r="C185" s="3" t="s">
        <v>23</v>
      </c>
      <c r="D185" s="3" t="s">
        <v>43</v>
      </c>
      <c r="E185" s="3" t="s">
        <v>51</v>
      </c>
      <c r="F185" s="3" t="s">
        <v>53</v>
      </c>
      <c r="G185" s="3" t="s">
        <v>25</v>
      </c>
      <c r="H185" s="3" t="s">
        <v>25</v>
      </c>
      <c r="I185" s="6">
        <v>44531</v>
      </c>
      <c r="J185" s="4">
        <v>0</v>
      </c>
      <c r="K185" s="4">
        <v>0</v>
      </c>
      <c r="L185" s="4">
        <v>7.0330000000000004</v>
      </c>
      <c r="M185" s="4">
        <v>2.8132000000000001</v>
      </c>
      <c r="N185" s="4">
        <v>7.0330000000000004</v>
      </c>
      <c r="O185" s="4">
        <v>2.8132000000000001</v>
      </c>
      <c r="P185" s="4">
        <v>0</v>
      </c>
      <c r="Q185" s="3" t="s">
        <v>26</v>
      </c>
      <c r="R185" s="3">
        <v>0</v>
      </c>
      <c r="S185" s="3" t="s">
        <v>192</v>
      </c>
      <c r="T185" s="3" t="s">
        <v>353</v>
      </c>
      <c r="U185" s="3">
        <v>0</v>
      </c>
      <c r="V185" s="3">
        <v>31</v>
      </c>
      <c r="W185" s="3">
        <v>69</v>
      </c>
    </row>
    <row r="186" spans="1:23" ht="11.25" customHeight="1" x14ac:dyDescent="0.3">
      <c r="A186" s="3" t="s">
        <v>28</v>
      </c>
      <c r="B186" s="3" t="s">
        <v>42</v>
      </c>
      <c r="C186" s="3" t="s">
        <v>23</v>
      </c>
      <c r="D186" s="3" t="s">
        <v>43</v>
      </c>
      <c r="E186" s="3" t="s">
        <v>51</v>
      </c>
      <c r="F186" s="3" t="s">
        <v>53</v>
      </c>
      <c r="G186" s="3" t="s">
        <v>25</v>
      </c>
      <c r="H186" s="3" t="s">
        <v>25</v>
      </c>
      <c r="I186" s="6">
        <v>44531</v>
      </c>
      <c r="J186" s="4">
        <v>0</v>
      </c>
      <c r="K186" s="4">
        <v>0</v>
      </c>
      <c r="L186" s="4">
        <v>0.112</v>
      </c>
      <c r="M186" s="4">
        <v>4.48E-2</v>
      </c>
      <c r="N186" s="4">
        <v>0.112</v>
      </c>
      <c r="O186" s="4">
        <v>4.48E-2</v>
      </c>
      <c r="P186" s="4">
        <v>0</v>
      </c>
      <c r="Q186" s="3" t="s">
        <v>26</v>
      </c>
      <c r="R186" s="3">
        <v>0</v>
      </c>
      <c r="S186" s="3" t="s">
        <v>192</v>
      </c>
      <c r="T186" s="3" t="s">
        <v>353</v>
      </c>
      <c r="U186" s="3">
        <v>0</v>
      </c>
      <c r="V186" s="3">
        <v>31</v>
      </c>
      <c r="W186" s="3">
        <v>69</v>
      </c>
    </row>
    <row r="187" spans="1:23" ht="11.25" customHeight="1" x14ac:dyDescent="0.3">
      <c r="A187" s="3" t="s">
        <v>21</v>
      </c>
      <c r="B187" s="3" t="s">
        <v>42</v>
      </c>
      <c r="C187" s="3" t="s">
        <v>23</v>
      </c>
      <c r="D187" s="3" t="s">
        <v>43</v>
      </c>
      <c r="E187" s="3" t="s">
        <v>51</v>
      </c>
      <c r="F187" s="3" t="s">
        <v>53</v>
      </c>
      <c r="G187" s="3" t="s">
        <v>25</v>
      </c>
      <c r="H187" s="3" t="s">
        <v>25</v>
      </c>
      <c r="I187" s="6">
        <v>44562</v>
      </c>
      <c r="J187" s="4">
        <v>0</v>
      </c>
      <c r="K187" s="4">
        <v>0</v>
      </c>
      <c r="L187" s="4">
        <v>16.582000000000001</v>
      </c>
      <c r="M187" s="4">
        <v>6.6327999999999996</v>
      </c>
      <c r="N187" s="4">
        <v>16.582000000000001</v>
      </c>
      <c r="O187" s="4">
        <v>6.6327999999999996</v>
      </c>
      <c r="P187" s="4">
        <v>0</v>
      </c>
      <c r="Q187" s="3" t="s">
        <v>26</v>
      </c>
      <c r="R187" s="3">
        <v>0</v>
      </c>
      <c r="S187" s="3" t="s">
        <v>193</v>
      </c>
      <c r="T187" s="3" t="s">
        <v>354</v>
      </c>
      <c r="U187" s="3">
        <v>0</v>
      </c>
      <c r="V187" s="3">
        <v>31</v>
      </c>
      <c r="W187" s="3">
        <v>69</v>
      </c>
    </row>
    <row r="188" spans="1:23" ht="11.25" customHeight="1" x14ac:dyDescent="0.3">
      <c r="A188" s="3" t="s">
        <v>27</v>
      </c>
      <c r="B188" s="3" t="s">
        <v>42</v>
      </c>
      <c r="C188" s="3" t="s">
        <v>23</v>
      </c>
      <c r="D188" s="3" t="s">
        <v>43</v>
      </c>
      <c r="E188" s="3" t="s">
        <v>51</v>
      </c>
      <c r="F188" s="3" t="s">
        <v>53</v>
      </c>
      <c r="G188" s="3" t="s">
        <v>25</v>
      </c>
      <c r="H188" s="3" t="s">
        <v>25</v>
      </c>
      <c r="I188" s="6">
        <v>44562</v>
      </c>
      <c r="J188" s="4">
        <v>0</v>
      </c>
      <c r="K188" s="4">
        <v>0</v>
      </c>
      <c r="L188" s="4">
        <v>-1.125</v>
      </c>
      <c r="M188" s="4">
        <v>-0.45</v>
      </c>
      <c r="N188" s="4">
        <v>-1.125</v>
      </c>
      <c r="O188" s="4">
        <v>-0.45</v>
      </c>
      <c r="P188" s="4">
        <v>0</v>
      </c>
      <c r="Q188" s="3" t="s">
        <v>26</v>
      </c>
      <c r="R188" s="3">
        <v>0</v>
      </c>
      <c r="S188" s="3" t="s">
        <v>193</v>
      </c>
      <c r="T188" s="3" t="s">
        <v>354</v>
      </c>
      <c r="U188" s="3">
        <v>0</v>
      </c>
      <c r="V188" s="3">
        <v>31</v>
      </c>
      <c r="W188" s="3">
        <v>69</v>
      </c>
    </row>
    <row r="189" spans="1:23" ht="11.25" customHeight="1" x14ac:dyDescent="0.3">
      <c r="A189" s="3" t="s">
        <v>28</v>
      </c>
      <c r="B189" s="3" t="s">
        <v>42</v>
      </c>
      <c r="C189" s="3" t="s">
        <v>23</v>
      </c>
      <c r="D189" s="3" t="s">
        <v>43</v>
      </c>
      <c r="E189" s="3" t="s">
        <v>51</v>
      </c>
      <c r="F189" s="3" t="s">
        <v>53</v>
      </c>
      <c r="G189" s="3" t="s">
        <v>25</v>
      </c>
      <c r="H189" s="3" t="s">
        <v>25</v>
      </c>
      <c r="I189" s="6">
        <v>44562</v>
      </c>
      <c r="J189" s="4">
        <v>0</v>
      </c>
      <c r="K189" s="4">
        <v>0</v>
      </c>
      <c r="L189" s="4">
        <v>0.245</v>
      </c>
      <c r="M189" s="4">
        <v>9.8000000000000004E-2</v>
      </c>
      <c r="N189" s="4">
        <v>0.245</v>
      </c>
      <c r="O189" s="4">
        <v>9.8000000000000004E-2</v>
      </c>
      <c r="P189" s="4">
        <v>0</v>
      </c>
      <c r="Q189" s="3" t="s">
        <v>26</v>
      </c>
      <c r="R189" s="3">
        <v>0</v>
      </c>
      <c r="S189" s="3" t="s">
        <v>193</v>
      </c>
      <c r="T189" s="3" t="s">
        <v>354</v>
      </c>
      <c r="U189" s="3">
        <v>0</v>
      </c>
      <c r="V189" s="3">
        <v>31</v>
      </c>
      <c r="W189" s="3">
        <v>69</v>
      </c>
    </row>
    <row r="190" spans="1:23" ht="11.25" customHeight="1" x14ac:dyDescent="0.3">
      <c r="A190" s="3" t="s">
        <v>21</v>
      </c>
      <c r="B190" s="3" t="s">
        <v>42</v>
      </c>
      <c r="C190" s="3" t="s">
        <v>23</v>
      </c>
      <c r="D190" s="3" t="s">
        <v>43</v>
      </c>
      <c r="E190" s="3" t="s">
        <v>51</v>
      </c>
      <c r="F190" s="3" t="s">
        <v>53</v>
      </c>
      <c r="G190" s="3" t="s">
        <v>25</v>
      </c>
      <c r="H190" s="3" t="s">
        <v>25</v>
      </c>
      <c r="I190" s="6">
        <v>44593</v>
      </c>
      <c r="J190" s="4">
        <v>0</v>
      </c>
      <c r="K190" s="4">
        <v>0</v>
      </c>
      <c r="L190" s="4">
        <v>7.8330000000000002</v>
      </c>
      <c r="M190" s="4">
        <v>3.1332</v>
      </c>
      <c r="N190" s="4">
        <v>7.8330000000000002</v>
      </c>
      <c r="O190" s="4">
        <v>3.1332</v>
      </c>
      <c r="P190" s="4">
        <v>0</v>
      </c>
      <c r="Q190" s="3" t="s">
        <v>26</v>
      </c>
      <c r="R190" s="3">
        <v>0</v>
      </c>
      <c r="S190" s="3" t="s">
        <v>194</v>
      </c>
      <c r="T190" s="3" t="s">
        <v>355</v>
      </c>
      <c r="U190" s="3">
        <v>0</v>
      </c>
      <c r="V190" s="3">
        <v>31</v>
      </c>
      <c r="W190" s="3">
        <v>69</v>
      </c>
    </row>
    <row r="191" spans="1:23" ht="11.25" customHeight="1" x14ac:dyDescent="0.3">
      <c r="A191" s="3" t="s">
        <v>28</v>
      </c>
      <c r="B191" s="3" t="s">
        <v>42</v>
      </c>
      <c r="C191" s="3" t="s">
        <v>23</v>
      </c>
      <c r="D191" s="3" t="s">
        <v>43</v>
      </c>
      <c r="E191" s="3" t="s">
        <v>51</v>
      </c>
      <c r="F191" s="3" t="s">
        <v>53</v>
      </c>
      <c r="G191" s="3" t="s">
        <v>25</v>
      </c>
      <c r="H191" s="3" t="s">
        <v>25</v>
      </c>
      <c r="I191" s="6">
        <v>44593</v>
      </c>
      <c r="J191" s="4">
        <v>0</v>
      </c>
      <c r="K191" s="4">
        <v>0</v>
      </c>
      <c r="L191" s="4">
        <v>0.152</v>
      </c>
      <c r="M191" s="4">
        <v>6.08E-2</v>
      </c>
      <c r="N191" s="4">
        <v>0.152</v>
      </c>
      <c r="O191" s="4">
        <v>6.08E-2</v>
      </c>
      <c r="P191" s="4">
        <v>0</v>
      </c>
      <c r="Q191" s="3" t="s">
        <v>26</v>
      </c>
      <c r="R191" s="3">
        <v>0</v>
      </c>
      <c r="S191" s="3" t="s">
        <v>194</v>
      </c>
      <c r="T191" s="3" t="s">
        <v>355</v>
      </c>
      <c r="U191" s="3">
        <v>0</v>
      </c>
      <c r="V191" s="3">
        <v>31</v>
      </c>
      <c r="W191" s="3">
        <v>69</v>
      </c>
    </row>
    <row r="192" spans="1:23" ht="11.25" customHeight="1" x14ac:dyDescent="0.3">
      <c r="A192" s="3" t="s">
        <v>21</v>
      </c>
      <c r="B192" s="3" t="s">
        <v>42</v>
      </c>
      <c r="C192" s="3" t="s">
        <v>23</v>
      </c>
      <c r="D192" s="3" t="s">
        <v>43</v>
      </c>
      <c r="E192" s="3" t="s">
        <v>51</v>
      </c>
      <c r="F192" s="3" t="s">
        <v>53</v>
      </c>
      <c r="G192" s="3" t="s">
        <v>25</v>
      </c>
      <c r="H192" s="3" t="s">
        <v>25</v>
      </c>
      <c r="I192" s="6">
        <v>44621</v>
      </c>
      <c r="J192" s="4">
        <v>0</v>
      </c>
      <c r="K192" s="4">
        <v>0</v>
      </c>
      <c r="L192" s="4">
        <v>0.79600000000000004</v>
      </c>
      <c r="M192" s="4">
        <v>0.31840000000000002</v>
      </c>
      <c r="N192" s="4">
        <v>0.79600000000000004</v>
      </c>
      <c r="O192" s="4">
        <v>0.31840000000000002</v>
      </c>
      <c r="P192" s="4">
        <v>0</v>
      </c>
      <c r="Q192" s="3" t="s">
        <v>26</v>
      </c>
      <c r="R192" s="3">
        <v>0</v>
      </c>
      <c r="S192" s="3" t="s">
        <v>195</v>
      </c>
      <c r="T192" s="3" t="s">
        <v>356</v>
      </c>
      <c r="U192" s="3">
        <v>0</v>
      </c>
      <c r="V192" s="3">
        <v>31</v>
      </c>
      <c r="W192" s="3">
        <v>69</v>
      </c>
    </row>
    <row r="193" spans="1:23" ht="11.25" customHeight="1" x14ac:dyDescent="0.3">
      <c r="A193" s="3" t="s">
        <v>21</v>
      </c>
      <c r="B193" s="3" t="s">
        <v>42</v>
      </c>
      <c r="C193" s="3" t="s">
        <v>23</v>
      </c>
      <c r="D193" s="3" t="s">
        <v>43</v>
      </c>
      <c r="E193" s="3" t="s">
        <v>51</v>
      </c>
      <c r="F193" s="3" t="s">
        <v>53</v>
      </c>
      <c r="G193" s="3" t="s">
        <v>25</v>
      </c>
      <c r="H193" s="3" t="s">
        <v>25</v>
      </c>
      <c r="I193" s="6">
        <v>44652</v>
      </c>
      <c r="J193" s="4">
        <v>0</v>
      </c>
      <c r="K193" s="4">
        <v>0</v>
      </c>
      <c r="L193" s="4">
        <v>0.65500000000000003</v>
      </c>
      <c r="M193" s="4">
        <v>0.26200000000000001</v>
      </c>
      <c r="N193" s="4">
        <v>0.65500000000000003</v>
      </c>
      <c r="O193" s="4">
        <v>0.26200000000000001</v>
      </c>
      <c r="P193" s="4">
        <v>0</v>
      </c>
      <c r="Q193" s="3" t="s">
        <v>26</v>
      </c>
      <c r="R193" s="3">
        <v>0</v>
      </c>
      <c r="S193" s="3" t="s">
        <v>196</v>
      </c>
      <c r="T193" s="3" t="s">
        <v>357</v>
      </c>
      <c r="U193" s="3">
        <v>0</v>
      </c>
      <c r="V193" s="3">
        <v>31</v>
      </c>
      <c r="W193" s="3">
        <v>69</v>
      </c>
    </row>
    <row r="194" spans="1:23" ht="11.25" customHeight="1" x14ac:dyDescent="0.3">
      <c r="A194" s="3" t="s">
        <v>21</v>
      </c>
      <c r="B194" s="3" t="s">
        <v>42</v>
      </c>
      <c r="C194" s="3" t="s">
        <v>23</v>
      </c>
      <c r="D194" s="3" t="s">
        <v>43</v>
      </c>
      <c r="E194" s="3" t="s">
        <v>51</v>
      </c>
      <c r="F194" s="3" t="s">
        <v>53</v>
      </c>
      <c r="G194" s="3" t="s">
        <v>25</v>
      </c>
      <c r="H194" s="3" t="s">
        <v>25</v>
      </c>
      <c r="I194" s="6">
        <v>44682</v>
      </c>
      <c r="J194" s="4">
        <v>0</v>
      </c>
      <c r="K194" s="4">
        <v>0</v>
      </c>
      <c r="L194" s="4">
        <v>0.50800000000000001</v>
      </c>
      <c r="M194" s="4">
        <v>0.20319999999999999</v>
      </c>
      <c r="N194" s="4">
        <v>0.50800000000000001</v>
      </c>
      <c r="O194" s="4">
        <v>0.20319999999999999</v>
      </c>
      <c r="P194" s="4">
        <v>0</v>
      </c>
      <c r="Q194" s="3" t="s">
        <v>26</v>
      </c>
      <c r="R194" s="3">
        <v>0</v>
      </c>
      <c r="S194" s="3" t="s">
        <v>197</v>
      </c>
      <c r="T194" s="3" t="s">
        <v>358</v>
      </c>
      <c r="U194" s="3">
        <v>0</v>
      </c>
      <c r="V194" s="3">
        <v>31</v>
      </c>
      <c r="W194" s="3">
        <v>69</v>
      </c>
    </row>
    <row r="195" spans="1:23" ht="11.25" customHeight="1" x14ac:dyDescent="0.3">
      <c r="A195" s="3" t="s">
        <v>27</v>
      </c>
      <c r="B195" s="3" t="s">
        <v>42</v>
      </c>
      <c r="C195" s="3" t="s">
        <v>23</v>
      </c>
      <c r="D195" s="3" t="s">
        <v>43</v>
      </c>
      <c r="E195" s="3" t="s">
        <v>51</v>
      </c>
      <c r="F195" s="3" t="s">
        <v>53</v>
      </c>
      <c r="G195" s="3" t="s">
        <v>25</v>
      </c>
      <c r="H195" s="3" t="s">
        <v>25</v>
      </c>
      <c r="I195" s="6">
        <v>44682</v>
      </c>
      <c r="J195" s="4">
        <v>0</v>
      </c>
      <c r="K195" s="4">
        <v>0</v>
      </c>
      <c r="L195" s="4">
        <v>2.8000000000000001E-2</v>
      </c>
      <c r="M195" s="4">
        <v>1.12E-2</v>
      </c>
      <c r="N195" s="4">
        <v>2.8000000000000001E-2</v>
      </c>
      <c r="O195" s="4">
        <v>1.12E-2</v>
      </c>
      <c r="P195" s="4">
        <v>0</v>
      </c>
      <c r="Q195" s="3" t="s">
        <v>26</v>
      </c>
      <c r="R195" s="3">
        <v>0</v>
      </c>
      <c r="S195" s="3" t="s">
        <v>197</v>
      </c>
      <c r="T195" s="3" t="s">
        <v>358</v>
      </c>
      <c r="U195" s="3">
        <v>0</v>
      </c>
      <c r="V195" s="3">
        <v>31</v>
      </c>
      <c r="W195" s="3">
        <v>69</v>
      </c>
    </row>
    <row r="196" spans="1:23" ht="11.25" customHeight="1" x14ac:dyDescent="0.3">
      <c r="A196" s="3" t="s">
        <v>21</v>
      </c>
      <c r="B196" s="3" t="s">
        <v>42</v>
      </c>
      <c r="C196" s="3" t="s">
        <v>23</v>
      </c>
      <c r="D196" s="3" t="s">
        <v>43</v>
      </c>
      <c r="E196" s="3" t="s">
        <v>51</v>
      </c>
      <c r="F196" s="3" t="s">
        <v>53</v>
      </c>
      <c r="G196" s="3" t="s">
        <v>25</v>
      </c>
      <c r="H196" s="3" t="s">
        <v>25</v>
      </c>
      <c r="I196" s="6">
        <v>44713</v>
      </c>
      <c r="J196" s="4">
        <v>0</v>
      </c>
      <c r="K196" s="4">
        <v>0</v>
      </c>
      <c r="L196" s="4">
        <v>1.663</v>
      </c>
      <c r="M196" s="4">
        <v>0.66520000000000001</v>
      </c>
      <c r="N196" s="4">
        <v>1.663</v>
      </c>
      <c r="O196" s="4">
        <v>0.66520000000000001</v>
      </c>
      <c r="P196" s="4">
        <v>0</v>
      </c>
      <c r="Q196" s="3" t="s">
        <v>26</v>
      </c>
      <c r="R196" s="3">
        <v>0</v>
      </c>
      <c r="S196" s="3" t="s">
        <v>198</v>
      </c>
      <c r="T196" s="3" t="s">
        <v>359</v>
      </c>
      <c r="U196" s="3">
        <v>0</v>
      </c>
      <c r="V196" s="3">
        <v>31</v>
      </c>
      <c r="W196" s="3">
        <v>69</v>
      </c>
    </row>
    <row r="197" spans="1:23" ht="11.25" customHeight="1" x14ac:dyDescent="0.3">
      <c r="A197" s="3" t="s">
        <v>21</v>
      </c>
      <c r="B197" s="3" t="s">
        <v>42</v>
      </c>
      <c r="C197" s="3" t="s">
        <v>23</v>
      </c>
      <c r="D197" s="3" t="s">
        <v>43</v>
      </c>
      <c r="E197" s="3" t="s">
        <v>51</v>
      </c>
      <c r="F197" s="3" t="s">
        <v>53</v>
      </c>
      <c r="G197" s="3" t="s">
        <v>25</v>
      </c>
      <c r="H197" s="3" t="s">
        <v>25</v>
      </c>
      <c r="I197" s="6">
        <v>44743</v>
      </c>
      <c r="J197" s="4">
        <v>0</v>
      </c>
      <c r="K197" s="4">
        <v>0</v>
      </c>
      <c r="L197" s="4">
        <v>0.98399999999999999</v>
      </c>
      <c r="M197" s="4">
        <v>0.39360000000000001</v>
      </c>
      <c r="N197" s="4">
        <v>0.98399999999999999</v>
      </c>
      <c r="O197" s="4">
        <v>0.39360000000000001</v>
      </c>
      <c r="P197" s="4">
        <v>0</v>
      </c>
      <c r="Q197" s="3" t="s">
        <v>26</v>
      </c>
      <c r="R197" s="3">
        <v>0</v>
      </c>
      <c r="S197" s="3" t="s">
        <v>199</v>
      </c>
      <c r="T197" s="3" t="s">
        <v>360</v>
      </c>
      <c r="U197" s="3">
        <v>0</v>
      </c>
      <c r="V197" s="3">
        <v>31</v>
      </c>
      <c r="W197" s="3">
        <v>69</v>
      </c>
    </row>
    <row r="198" spans="1:23" ht="11.25" customHeight="1" x14ac:dyDescent="0.3">
      <c r="A198" s="3" t="s">
        <v>55</v>
      </c>
      <c r="B198" s="3" t="s">
        <v>42</v>
      </c>
      <c r="C198" s="3" t="s">
        <v>23</v>
      </c>
      <c r="D198" s="3" t="s">
        <v>43</v>
      </c>
      <c r="E198" s="3" t="s">
        <v>51</v>
      </c>
      <c r="F198" s="3" t="s">
        <v>53</v>
      </c>
      <c r="G198" s="3" t="s">
        <v>25</v>
      </c>
      <c r="H198" s="3" t="s">
        <v>25</v>
      </c>
      <c r="I198" s="6">
        <v>44774</v>
      </c>
      <c r="J198" s="4">
        <v>0</v>
      </c>
      <c r="K198" s="4">
        <v>0</v>
      </c>
      <c r="L198" s="4">
        <v>0.98399999999999999</v>
      </c>
      <c r="M198" s="4">
        <v>0.39360000000000001</v>
      </c>
      <c r="N198" s="4">
        <v>0.98399999999999999</v>
      </c>
      <c r="O198" s="4">
        <v>0.39360000000000001</v>
      </c>
      <c r="P198" s="4">
        <v>0</v>
      </c>
      <c r="Q198" s="3" t="s">
        <v>26</v>
      </c>
      <c r="R198" s="3">
        <v>0</v>
      </c>
      <c r="S198" s="3" t="s">
        <v>200</v>
      </c>
      <c r="T198" s="3" t="s">
        <v>361</v>
      </c>
      <c r="U198" s="3">
        <v>0</v>
      </c>
      <c r="V198" s="3">
        <v>31</v>
      </c>
      <c r="W198" s="3">
        <v>69</v>
      </c>
    </row>
    <row r="199" spans="1:23" ht="11.25" customHeight="1" x14ac:dyDescent="0.3">
      <c r="A199" s="3" t="s">
        <v>21</v>
      </c>
      <c r="B199" s="3" t="s">
        <v>42</v>
      </c>
      <c r="C199" s="3" t="s">
        <v>23</v>
      </c>
      <c r="D199" s="3" t="s">
        <v>43</v>
      </c>
      <c r="E199" s="3" t="s">
        <v>54</v>
      </c>
      <c r="F199" s="3" t="s">
        <v>52</v>
      </c>
      <c r="G199" s="3" t="s">
        <v>25</v>
      </c>
      <c r="H199" s="3" t="s">
        <v>25</v>
      </c>
      <c r="I199" s="6">
        <v>44440</v>
      </c>
      <c r="J199" s="4">
        <v>0</v>
      </c>
      <c r="K199" s="4">
        <v>0</v>
      </c>
      <c r="L199" s="4">
        <v>0.24399999999999999</v>
      </c>
      <c r="M199" s="4">
        <v>0.24399999999999999</v>
      </c>
      <c r="N199" s="4">
        <v>0.24399999999999999</v>
      </c>
      <c r="O199" s="4">
        <v>0.24399999999999999</v>
      </c>
      <c r="P199" s="4">
        <v>0</v>
      </c>
      <c r="Q199" s="3" t="s">
        <v>26</v>
      </c>
      <c r="R199" s="3">
        <v>0</v>
      </c>
      <c r="S199" s="3" t="s">
        <v>189</v>
      </c>
      <c r="T199" s="3" t="s">
        <v>350</v>
      </c>
      <c r="U199" s="3">
        <v>0</v>
      </c>
      <c r="V199" s="3">
        <v>31</v>
      </c>
      <c r="W199" s="3">
        <v>69</v>
      </c>
    </row>
    <row r="200" spans="1:23" ht="11.25" customHeight="1" x14ac:dyDescent="0.3">
      <c r="A200" s="3" t="s">
        <v>21</v>
      </c>
      <c r="B200" s="3" t="s">
        <v>42</v>
      </c>
      <c r="C200" s="3" t="s">
        <v>23</v>
      </c>
      <c r="D200" s="3" t="s">
        <v>43</v>
      </c>
      <c r="E200" s="3" t="s">
        <v>54</v>
      </c>
      <c r="F200" s="3" t="s">
        <v>52</v>
      </c>
      <c r="G200" s="3" t="s">
        <v>25</v>
      </c>
      <c r="H200" s="3" t="s">
        <v>25</v>
      </c>
      <c r="I200" s="6">
        <v>44470</v>
      </c>
      <c r="J200" s="4">
        <v>0</v>
      </c>
      <c r="K200" s="4">
        <v>0</v>
      </c>
      <c r="L200" s="4">
        <v>0.17899999999999999</v>
      </c>
      <c r="M200" s="4">
        <v>0.17899999999999999</v>
      </c>
      <c r="N200" s="4">
        <v>0.17899999999999999</v>
      </c>
      <c r="O200" s="4">
        <v>0.17899999999999999</v>
      </c>
      <c r="P200" s="4">
        <v>0</v>
      </c>
      <c r="Q200" s="3" t="s">
        <v>26</v>
      </c>
      <c r="R200" s="3">
        <v>0</v>
      </c>
      <c r="S200" s="3" t="s">
        <v>190</v>
      </c>
      <c r="T200" s="3" t="s">
        <v>351</v>
      </c>
      <c r="U200" s="3">
        <v>0</v>
      </c>
      <c r="V200" s="3">
        <v>31</v>
      </c>
      <c r="W200" s="3">
        <v>69</v>
      </c>
    </row>
    <row r="201" spans="1:23" ht="11.25" customHeight="1" x14ac:dyDescent="0.3">
      <c r="A201" s="3" t="s">
        <v>21</v>
      </c>
      <c r="B201" s="3" t="s">
        <v>42</v>
      </c>
      <c r="C201" s="3" t="s">
        <v>23</v>
      </c>
      <c r="D201" s="3" t="s">
        <v>43</v>
      </c>
      <c r="E201" s="3" t="s">
        <v>54</v>
      </c>
      <c r="F201" s="3" t="s">
        <v>52</v>
      </c>
      <c r="G201" s="3" t="s">
        <v>25</v>
      </c>
      <c r="H201" s="3" t="s">
        <v>25</v>
      </c>
      <c r="I201" s="6">
        <v>44501</v>
      </c>
      <c r="J201" s="4">
        <v>0</v>
      </c>
      <c r="K201" s="4">
        <v>0</v>
      </c>
      <c r="L201" s="4">
        <v>0.47499999999999998</v>
      </c>
      <c r="M201" s="4">
        <v>0.47499999999999998</v>
      </c>
      <c r="N201" s="4">
        <v>0.47499999999999998</v>
      </c>
      <c r="O201" s="4">
        <v>0.47499999999999998</v>
      </c>
      <c r="P201" s="4">
        <v>0</v>
      </c>
      <c r="Q201" s="3" t="s">
        <v>26</v>
      </c>
      <c r="R201" s="3">
        <v>0</v>
      </c>
      <c r="S201" s="3" t="s">
        <v>191</v>
      </c>
      <c r="T201" s="3" t="s">
        <v>352</v>
      </c>
      <c r="U201" s="3">
        <v>0</v>
      </c>
      <c r="V201" s="3">
        <v>31</v>
      </c>
      <c r="W201" s="3">
        <v>69</v>
      </c>
    </row>
    <row r="202" spans="1:23" ht="11.25" customHeight="1" x14ac:dyDescent="0.3">
      <c r="A202" s="3" t="s">
        <v>21</v>
      </c>
      <c r="B202" s="3" t="s">
        <v>42</v>
      </c>
      <c r="C202" s="3" t="s">
        <v>23</v>
      </c>
      <c r="D202" s="3" t="s">
        <v>43</v>
      </c>
      <c r="E202" s="3" t="s">
        <v>54</v>
      </c>
      <c r="F202" s="3" t="s">
        <v>52</v>
      </c>
      <c r="G202" s="3" t="s">
        <v>25</v>
      </c>
      <c r="H202" s="3" t="s">
        <v>25</v>
      </c>
      <c r="I202" s="6">
        <v>44531</v>
      </c>
      <c r="J202" s="4">
        <v>0</v>
      </c>
      <c r="K202" s="4">
        <v>0</v>
      </c>
      <c r="L202" s="4">
        <v>0.35299999999999998</v>
      </c>
      <c r="M202" s="4">
        <v>0.35299999999999998</v>
      </c>
      <c r="N202" s="4">
        <v>0.35299999999999998</v>
      </c>
      <c r="O202" s="4">
        <v>0.35299999999999998</v>
      </c>
      <c r="P202" s="4">
        <v>0</v>
      </c>
      <c r="Q202" s="3" t="s">
        <v>26</v>
      </c>
      <c r="R202" s="3">
        <v>0</v>
      </c>
      <c r="S202" s="3" t="s">
        <v>192</v>
      </c>
      <c r="T202" s="3" t="s">
        <v>353</v>
      </c>
      <c r="U202" s="3">
        <v>0</v>
      </c>
      <c r="V202" s="3">
        <v>31</v>
      </c>
      <c r="W202" s="3">
        <v>69</v>
      </c>
    </row>
    <row r="203" spans="1:23" ht="11.25" customHeight="1" x14ac:dyDescent="0.3">
      <c r="A203" s="3" t="s">
        <v>21</v>
      </c>
      <c r="B203" s="3" t="s">
        <v>42</v>
      </c>
      <c r="C203" s="3" t="s">
        <v>23</v>
      </c>
      <c r="D203" s="3" t="s">
        <v>43</v>
      </c>
      <c r="E203" s="3" t="s">
        <v>54</v>
      </c>
      <c r="F203" s="3" t="s">
        <v>52</v>
      </c>
      <c r="G203" s="3" t="s">
        <v>25</v>
      </c>
      <c r="H203" s="3" t="s">
        <v>25</v>
      </c>
      <c r="I203" s="6">
        <v>44562</v>
      </c>
      <c r="J203" s="4">
        <v>0</v>
      </c>
      <c r="K203" s="4">
        <v>0</v>
      </c>
      <c r="L203" s="4">
        <v>0.81200000000000006</v>
      </c>
      <c r="M203" s="4">
        <v>0.81200000000000006</v>
      </c>
      <c r="N203" s="4">
        <v>0.81200000000000006</v>
      </c>
      <c r="O203" s="4">
        <v>0.81200000000000006</v>
      </c>
      <c r="P203" s="4">
        <v>0</v>
      </c>
      <c r="Q203" s="3" t="s">
        <v>26</v>
      </c>
      <c r="R203" s="3">
        <v>0</v>
      </c>
      <c r="S203" s="3" t="s">
        <v>193</v>
      </c>
      <c r="T203" s="3" t="s">
        <v>354</v>
      </c>
      <c r="U203" s="3">
        <v>0</v>
      </c>
      <c r="V203" s="3">
        <v>31</v>
      </c>
      <c r="W203" s="3">
        <v>69</v>
      </c>
    </row>
    <row r="204" spans="1:23" ht="11.25" customHeight="1" x14ac:dyDescent="0.3">
      <c r="A204" s="3" t="s">
        <v>21</v>
      </c>
      <c r="B204" s="3" t="s">
        <v>42</v>
      </c>
      <c r="C204" s="3" t="s">
        <v>23</v>
      </c>
      <c r="D204" s="3" t="s">
        <v>43</v>
      </c>
      <c r="E204" s="3" t="s">
        <v>54</v>
      </c>
      <c r="F204" s="3" t="s">
        <v>52</v>
      </c>
      <c r="G204" s="3" t="s">
        <v>25</v>
      </c>
      <c r="H204" s="3" t="s">
        <v>25</v>
      </c>
      <c r="I204" s="6">
        <v>44593</v>
      </c>
      <c r="J204" s="4">
        <v>0</v>
      </c>
      <c r="K204" s="4">
        <v>0</v>
      </c>
      <c r="L204" s="4">
        <v>0.88600000000000001</v>
      </c>
      <c r="M204" s="4">
        <v>0.88600000000000001</v>
      </c>
      <c r="N204" s="4">
        <v>0.88600000000000001</v>
      </c>
      <c r="O204" s="4">
        <v>0.88600000000000001</v>
      </c>
      <c r="P204" s="4">
        <v>0</v>
      </c>
      <c r="Q204" s="3" t="s">
        <v>26</v>
      </c>
      <c r="R204" s="3">
        <v>0</v>
      </c>
      <c r="S204" s="3" t="s">
        <v>194</v>
      </c>
      <c r="T204" s="3" t="s">
        <v>355</v>
      </c>
      <c r="U204" s="3">
        <v>0</v>
      </c>
      <c r="V204" s="3">
        <v>31</v>
      </c>
      <c r="W204" s="3">
        <v>69</v>
      </c>
    </row>
    <row r="205" spans="1:23" ht="11.25" customHeight="1" x14ac:dyDescent="0.3">
      <c r="A205" s="3" t="s">
        <v>21</v>
      </c>
      <c r="B205" s="3" t="s">
        <v>42</v>
      </c>
      <c r="C205" s="3" t="s">
        <v>23</v>
      </c>
      <c r="D205" s="3" t="s">
        <v>43</v>
      </c>
      <c r="E205" s="3" t="s">
        <v>54</v>
      </c>
      <c r="F205" s="3" t="s">
        <v>52</v>
      </c>
      <c r="G205" s="3" t="s">
        <v>25</v>
      </c>
      <c r="H205" s="3" t="s">
        <v>25</v>
      </c>
      <c r="I205" s="6">
        <v>44621</v>
      </c>
      <c r="J205" s="4">
        <v>0</v>
      </c>
      <c r="K205" s="4">
        <v>0</v>
      </c>
      <c r="L205" s="4">
        <v>1.085</v>
      </c>
      <c r="M205" s="4">
        <v>1.085</v>
      </c>
      <c r="N205" s="4">
        <v>1.085</v>
      </c>
      <c r="O205" s="4">
        <v>1.085</v>
      </c>
      <c r="P205" s="4">
        <v>0</v>
      </c>
      <c r="Q205" s="3" t="s">
        <v>26</v>
      </c>
      <c r="R205" s="3">
        <v>0</v>
      </c>
      <c r="S205" s="3" t="s">
        <v>195</v>
      </c>
      <c r="T205" s="3" t="s">
        <v>356</v>
      </c>
      <c r="U205" s="3">
        <v>0</v>
      </c>
      <c r="V205" s="3">
        <v>31</v>
      </c>
      <c r="W205" s="3">
        <v>69</v>
      </c>
    </row>
    <row r="206" spans="1:23" ht="11.25" customHeight="1" x14ac:dyDescent="0.3">
      <c r="A206" s="3" t="s">
        <v>21</v>
      </c>
      <c r="B206" s="3" t="s">
        <v>42</v>
      </c>
      <c r="C206" s="3" t="s">
        <v>23</v>
      </c>
      <c r="D206" s="3" t="s">
        <v>43</v>
      </c>
      <c r="E206" s="3" t="s">
        <v>54</v>
      </c>
      <c r="F206" s="3" t="s">
        <v>52</v>
      </c>
      <c r="G206" s="3" t="s">
        <v>25</v>
      </c>
      <c r="H206" s="3" t="s">
        <v>25</v>
      </c>
      <c r="I206" s="6">
        <v>44652</v>
      </c>
      <c r="J206" s="4">
        <v>0</v>
      </c>
      <c r="K206" s="4">
        <v>0</v>
      </c>
      <c r="L206" s="4">
        <v>1.05</v>
      </c>
      <c r="M206" s="4">
        <v>1.05</v>
      </c>
      <c r="N206" s="4">
        <v>1.05</v>
      </c>
      <c r="O206" s="4">
        <v>1.05</v>
      </c>
      <c r="P206" s="4">
        <v>0</v>
      </c>
      <c r="Q206" s="3" t="s">
        <v>26</v>
      </c>
      <c r="R206" s="3">
        <v>0</v>
      </c>
      <c r="S206" s="3" t="s">
        <v>196</v>
      </c>
      <c r="T206" s="3" t="s">
        <v>357</v>
      </c>
      <c r="U206" s="3">
        <v>0</v>
      </c>
      <c r="V206" s="3">
        <v>31</v>
      </c>
      <c r="W206" s="3">
        <v>69</v>
      </c>
    </row>
    <row r="207" spans="1:23" ht="11.25" customHeight="1" x14ac:dyDescent="0.3">
      <c r="A207" s="3" t="s">
        <v>21</v>
      </c>
      <c r="B207" s="3" t="s">
        <v>42</v>
      </c>
      <c r="C207" s="3" t="s">
        <v>23</v>
      </c>
      <c r="D207" s="3" t="s">
        <v>43</v>
      </c>
      <c r="E207" s="3" t="s">
        <v>54</v>
      </c>
      <c r="F207" s="3" t="s">
        <v>52</v>
      </c>
      <c r="G207" s="3" t="s">
        <v>25</v>
      </c>
      <c r="H207" s="3" t="s">
        <v>25</v>
      </c>
      <c r="I207" s="6">
        <v>44682</v>
      </c>
      <c r="J207" s="4">
        <v>0</v>
      </c>
      <c r="K207" s="4">
        <v>0</v>
      </c>
      <c r="L207" s="4">
        <v>0.69499999999999995</v>
      </c>
      <c r="M207" s="4">
        <v>0.69499999999999995</v>
      </c>
      <c r="N207" s="4">
        <v>0.69499999999999995</v>
      </c>
      <c r="O207" s="4">
        <v>0.69499999999999995</v>
      </c>
      <c r="P207" s="4">
        <v>0</v>
      </c>
      <c r="Q207" s="3" t="s">
        <v>26</v>
      </c>
      <c r="R207" s="3">
        <v>0</v>
      </c>
      <c r="S207" s="3" t="s">
        <v>197</v>
      </c>
      <c r="T207" s="3" t="s">
        <v>358</v>
      </c>
      <c r="U207" s="3">
        <v>0</v>
      </c>
      <c r="V207" s="3">
        <v>31</v>
      </c>
      <c r="W207" s="3">
        <v>69</v>
      </c>
    </row>
    <row r="208" spans="1:23" ht="11.25" customHeight="1" x14ac:dyDescent="0.3">
      <c r="A208" s="3" t="s">
        <v>21</v>
      </c>
      <c r="B208" s="3" t="s">
        <v>42</v>
      </c>
      <c r="C208" s="3" t="s">
        <v>23</v>
      </c>
      <c r="D208" s="3" t="s">
        <v>43</v>
      </c>
      <c r="E208" s="3" t="s">
        <v>54</v>
      </c>
      <c r="F208" s="3" t="s">
        <v>52</v>
      </c>
      <c r="G208" s="3" t="s">
        <v>25</v>
      </c>
      <c r="H208" s="3" t="s">
        <v>25</v>
      </c>
      <c r="I208" s="6">
        <v>44713</v>
      </c>
      <c r="J208" s="4">
        <v>0</v>
      </c>
      <c r="K208" s="4">
        <v>0</v>
      </c>
      <c r="L208" s="4">
        <v>0.20899999999999999</v>
      </c>
      <c r="M208" s="4">
        <v>0.20899999999999999</v>
      </c>
      <c r="N208" s="4">
        <v>0.20899999999999999</v>
      </c>
      <c r="O208" s="4">
        <v>0.20899999999999999</v>
      </c>
      <c r="P208" s="4">
        <v>0</v>
      </c>
      <c r="Q208" s="3" t="s">
        <v>26</v>
      </c>
      <c r="R208" s="3">
        <v>0</v>
      </c>
      <c r="S208" s="3" t="s">
        <v>198</v>
      </c>
      <c r="T208" s="3" t="s">
        <v>359</v>
      </c>
      <c r="U208" s="3">
        <v>0</v>
      </c>
      <c r="V208" s="3">
        <v>31</v>
      </c>
      <c r="W208" s="3">
        <v>69</v>
      </c>
    </row>
    <row r="209" spans="1:23" ht="11.25" customHeight="1" x14ac:dyDescent="0.3">
      <c r="A209" s="3" t="s">
        <v>21</v>
      </c>
      <c r="B209" s="3" t="s">
        <v>42</v>
      </c>
      <c r="C209" s="3" t="s">
        <v>23</v>
      </c>
      <c r="D209" s="3" t="s">
        <v>43</v>
      </c>
      <c r="E209" s="3" t="s">
        <v>54</v>
      </c>
      <c r="F209" s="3" t="s">
        <v>52</v>
      </c>
      <c r="G209" s="3" t="s">
        <v>25</v>
      </c>
      <c r="H209" s="3" t="s">
        <v>25</v>
      </c>
      <c r="I209" s="6">
        <v>44743</v>
      </c>
      <c r="J209" s="4">
        <v>0</v>
      </c>
      <c r="K209" s="4">
        <v>0</v>
      </c>
      <c r="L209" s="4">
        <v>0.16</v>
      </c>
      <c r="M209" s="4">
        <v>0.16</v>
      </c>
      <c r="N209" s="4">
        <v>0.16</v>
      </c>
      <c r="O209" s="4">
        <v>0.16</v>
      </c>
      <c r="P209" s="4">
        <v>0</v>
      </c>
      <c r="Q209" s="3" t="s">
        <v>26</v>
      </c>
      <c r="R209" s="3">
        <v>0</v>
      </c>
      <c r="S209" s="3" t="s">
        <v>199</v>
      </c>
      <c r="T209" s="3" t="s">
        <v>360</v>
      </c>
      <c r="U209" s="3">
        <v>0</v>
      </c>
      <c r="V209" s="3">
        <v>31</v>
      </c>
      <c r="W209" s="3">
        <v>69</v>
      </c>
    </row>
    <row r="210" spans="1:23" ht="11.25" customHeight="1" x14ac:dyDescent="0.3">
      <c r="A210" s="3" t="s">
        <v>55</v>
      </c>
      <c r="B210" s="3" t="s">
        <v>42</v>
      </c>
      <c r="C210" s="3" t="s">
        <v>23</v>
      </c>
      <c r="D210" s="3" t="s">
        <v>43</v>
      </c>
      <c r="E210" s="3" t="s">
        <v>54</v>
      </c>
      <c r="F210" s="3" t="s">
        <v>52</v>
      </c>
      <c r="G210" s="3" t="s">
        <v>25</v>
      </c>
      <c r="H210" s="3" t="s">
        <v>25</v>
      </c>
      <c r="I210" s="6">
        <v>44774</v>
      </c>
      <c r="J210" s="4">
        <v>0</v>
      </c>
      <c r="K210" s="4">
        <v>0</v>
      </c>
      <c r="L210" s="4">
        <v>0.16</v>
      </c>
      <c r="M210" s="4">
        <v>0.16</v>
      </c>
      <c r="N210" s="4">
        <v>0.16</v>
      </c>
      <c r="O210" s="4">
        <v>0.16</v>
      </c>
      <c r="P210" s="4">
        <v>0</v>
      </c>
      <c r="Q210" s="3" t="s">
        <v>26</v>
      </c>
      <c r="R210" s="3">
        <v>0</v>
      </c>
      <c r="S210" s="3" t="s">
        <v>200</v>
      </c>
      <c r="T210" s="3" t="s">
        <v>361</v>
      </c>
      <c r="U210" s="3">
        <v>0</v>
      </c>
      <c r="V210" s="3">
        <v>31</v>
      </c>
      <c r="W210" s="3">
        <v>69</v>
      </c>
    </row>
    <row r="211" spans="1:23" ht="11.25" customHeight="1" x14ac:dyDescent="0.3">
      <c r="A211" s="3" t="s">
        <v>21</v>
      </c>
      <c r="B211" s="3" t="s">
        <v>42</v>
      </c>
      <c r="C211" s="3" t="s">
        <v>23</v>
      </c>
      <c r="D211" s="3" t="s">
        <v>43</v>
      </c>
      <c r="E211" s="3" t="s">
        <v>54</v>
      </c>
      <c r="F211" s="3" t="s">
        <v>53</v>
      </c>
      <c r="G211" s="3" t="s">
        <v>25</v>
      </c>
      <c r="H211" s="3" t="s">
        <v>25</v>
      </c>
      <c r="I211" s="6">
        <v>44440</v>
      </c>
      <c r="J211" s="4">
        <v>0</v>
      </c>
      <c r="K211" s="4">
        <v>0</v>
      </c>
      <c r="L211" s="4">
        <v>0.97499999999999998</v>
      </c>
      <c r="M211" s="4">
        <v>0.39</v>
      </c>
      <c r="N211" s="4">
        <v>0.97499999999999998</v>
      </c>
      <c r="O211" s="4">
        <v>0.39</v>
      </c>
      <c r="P211" s="4">
        <v>0</v>
      </c>
      <c r="Q211" s="3" t="s">
        <v>26</v>
      </c>
      <c r="R211" s="3">
        <v>0</v>
      </c>
      <c r="S211" s="3" t="s">
        <v>189</v>
      </c>
      <c r="T211" s="3" t="s">
        <v>350</v>
      </c>
      <c r="U211" s="3">
        <v>0</v>
      </c>
      <c r="V211" s="3">
        <v>31</v>
      </c>
      <c r="W211" s="3">
        <v>69</v>
      </c>
    </row>
    <row r="212" spans="1:23" ht="11.25" customHeight="1" x14ac:dyDescent="0.3">
      <c r="A212" s="3" t="s">
        <v>21</v>
      </c>
      <c r="B212" s="3" t="s">
        <v>42</v>
      </c>
      <c r="C212" s="3" t="s">
        <v>23</v>
      </c>
      <c r="D212" s="3" t="s">
        <v>43</v>
      </c>
      <c r="E212" s="3" t="s">
        <v>54</v>
      </c>
      <c r="F212" s="3" t="s">
        <v>53</v>
      </c>
      <c r="G212" s="3" t="s">
        <v>25</v>
      </c>
      <c r="H212" s="3" t="s">
        <v>25</v>
      </c>
      <c r="I212" s="6">
        <v>44470</v>
      </c>
      <c r="J212" s="4">
        <v>0</v>
      </c>
      <c r="K212" s="4">
        <v>0</v>
      </c>
      <c r="L212" s="4">
        <v>1.417</v>
      </c>
      <c r="M212" s="4">
        <v>0.56679999999999997</v>
      </c>
      <c r="N212" s="4">
        <v>1.417</v>
      </c>
      <c r="O212" s="4">
        <v>0.56679999999999997</v>
      </c>
      <c r="P212" s="4">
        <v>0</v>
      </c>
      <c r="Q212" s="3" t="s">
        <v>26</v>
      </c>
      <c r="R212" s="3">
        <v>0</v>
      </c>
      <c r="S212" s="3" t="s">
        <v>190</v>
      </c>
      <c r="T212" s="3" t="s">
        <v>351</v>
      </c>
      <c r="U212" s="3">
        <v>0</v>
      </c>
      <c r="V212" s="3">
        <v>31</v>
      </c>
      <c r="W212" s="3">
        <v>69</v>
      </c>
    </row>
    <row r="213" spans="1:23" ht="11.25" customHeight="1" x14ac:dyDescent="0.3">
      <c r="A213" s="3" t="s">
        <v>21</v>
      </c>
      <c r="B213" s="3" t="s">
        <v>42</v>
      </c>
      <c r="C213" s="3" t="s">
        <v>23</v>
      </c>
      <c r="D213" s="3" t="s">
        <v>43</v>
      </c>
      <c r="E213" s="3" t="s">
        <v>54</v>
      </c>
      <c r="F213" s="3" t="s">
        <v>53</v>
      </c>
      <c r="G213" s="3" t="s">
        <v>25</v>
      </c>
      <c r="H213" s="3" t="s">
        <v>25</v>
      </c>
      <c r="I213" s="6">
        <v>44501</v>
      </c>
      <c r="J213" s="4">
        <v>0</v>
      </c>
      <c r="K213" s="4">
        <v>0</v>
      </c>
      <c r="L213" s="4">
        <v>1.6319999999999999</v>
      </c>
      <c r="M213" s="4">
        <v>0.65280000000000005</v>
      </c>
      <c r="N213" s="4">
        <v>1.6319999999999999</v>
      </c>
      <c r="O213" s="4">
        <v>0.65280000000000005</v>
      </c>
      <c r="P213" s="4">
        <v>0</v>
      </c>
      <c r="Q213" s="3" t="s">
        <v>26</v>
      </c>
      <c r="R213" s="3">
        <v>0</v>
      </c>
      <c r="S213" s="3" t="s">
        <v>191</v>
      </c>
      <c r="T213" s="3" t="s">
        <v>352</v>
      </c>
      <c r="U213" s="3">
        <v>0</v>
      </c>
      <c r="V213" s="3">
        <v>31</v>
      </c>
      <c r="W213" s="3">
        <v>69</v>
      </c>
    </row>
    <row r="214" spans="1:23" ht="11.25" customHeight="1" x14ac:dyDescent="0.3">
      <c r="A214" s="3" t="s">
        <v>21</v>
      </c>
      <c r="B214" s="3" t="s">
        <v>42</v>
      </c>
      <c r="C214" s="3" t="s">
        <v>23</v>
      </c>
      <c r="D214" s="3" t="s">
        <v>43</v>
      </c>
      <c r="E214" s="3" t="s">
        <v>54</v>
      </c>
      <c r="F214" s="3" t="s">
        <v>53</v>
      </c>
      <c r="G214" s="3" t="s">
        <v>25</v>
      </c>
      <c r="H214" s="3" t="s">
        <v>25</v>
      </c>
      <c r="I214" s="6">
        <v>44531</v>
      </c>
      <c r="J214" s="4">
        <v>0</v>
      </c>
      <c r="K214" s="4">
        <v>0</v>
      </c>
      <c r="L214" s="4">
        <v>2.3889999999999998</v>
      </c>
      <c r="M214" s="4">
        <v>0.9556</v>
      </c>
      <c r="N214" s="4">
        <v>2.3889999999999998</v>
      </c>
      <c r="O214" s="4">
        <v>0.9556</v>
      </c>
      <c r="P214" s="4">
        <v>0</v>
      </c>
      <c r="Q214" s="3" t="s">
        <v>26</v>
      </c>
      <c r="R214" s="3">
        <v>0</v>
      </c>
      <c r="S214" s="3" t="s">
        <v>192</v>
      </c>
      <c r="T214" s="3" t="s">
        <v>353</v>
      </c>
      <c r="U214" s="3">
        <v>0</v>
      </c>
      <c r="V214" s="3">
        <v>31</v>
      </c>
      <c r="W214" s="3">
        <v>69</v>
      </c>
    </row>
    <row r="215" spans="1:23" ht="11.25" customHeight="1" x14ac:dyDescent="0.3">
      <c r="A215" s="3" t="s">
        <v>21</v>
      </c>
      <c r="B215" s="3" t="s">
        <v>42</v>
      </c>
      <c r="C215" s="3" t="s">
        <v>23</v>
      </c>
      <c r="D215" s="3" t="s">
        <v>43</v>
      </c>
      <c r="E215" s="3" t="s">
        <v>54</v>
      </c>
      <c r="F215" s="3" t="s">
        <v>53</v>
      </c>
      <c r="G215" s="3" t="s">
        <v>25</v>
      </c>
      <c r="H215" s="3" t="s">
        <v>25</v>
      </c>
      <c r="I215" s="6">
        <v>44562</v>
      </c>
      <c r="J215" s="4">
        <v>0</v>
      </c>
      <c r="K215" s="4">
        <v>0</v>
      </c>
      <c r="L215" s="4">
        <v>3.42</v>
      </c>
      <c r="M215" s="4">
        <v>1.3680000000000001</v>
      </c>
      <c r="N215" s="4">
        <v>3.42</v>
      </c>
      <c r="O215" s="4">
        <v>1.3680000000000001</v>
      </c>
      <c r="P215" s="4">
        <v>0</v>
      </c>
      <c r="Q215" s="3" t="s">
        <v>26</v>
      </c>
      <c r="R215" s="3">
        <v>0</v>
      </c>
      <c r="S215" s="3" t="s">
        <v>193</v>
      </c>
      <c r="T215" s="3" t="s">
        <v>354</v>
      </c>
      <c r="U215" s="3">
        <v>0</v>
      </c>
      <c r="V215" s="3">
        <v>31</v>
      </c>
      <c r="W215" s="3">
        <v>69</v>
      </c>
    </row>
    <row r="216" spans="1:23" ht="11.25" customHeight="1" x14ac:dyDescent="0.3">
      <c r="A216" s="3" t="s">
        <v>21</v>
      </c>
      <c r="B216" s="3" t="s">
        <v>42</v>
      </c>
      <c r="C216" s="3" t="s">
        <v>23</v>
      </c>
      <c r="D216" s="3" t="s">
        <v>43</v>
      </c>
      <c r="E216" s="3" t="s">
        <v>54</v>
      </c>
      <c r="F216" s="3" t="s">
        <v>53</v>
      </c>
      <c r="G216" s="3" t="s">
        <v>25</v>
      </c>
      <c r="H216" s="3" t="s">
        <v>25</v>
      </c>
      <c r="I216" s="6">
        <v>44593</v>
      </c>
      <c r="J216" s="4">
        <v>0</v>
      </c>
      <c r="K216" s="4">
        <v>0</v>
      </c>
      <c r="L216" s="4">
        <v>3.9550000000000001</v>
      </c>
      <c r="M216" s="4">
        <v>1.5820000000000001</v>
      </c>
      <c r="N216" s="4">
        <v>3.9550000000000001</v>
      </c>
      <c r="O216" s="4">
        <v>1.5820000000000001</v>
      </c>
      <c r="P216" s="4">
        <v>0</v>
      </c>
      <c r="Q216" s="3" t="s">
        <v>26</v>
      </c>
      <c r="R216" s="3">
        <v>0</v>
      </c>
      <c r="S216" s="3" t="s">
        <v>194</v>
      </c>
      <c r="T216" s="3" t="s">
        <v>355</v>
      </c>
      <c r="U216" s="3">
        <v>0</v>
      </c>
      <c r="V216" s="3">
        <v>31</v>
      </c>
      <c r="W216" s="3">
        <v>69</v>
      </c>
    </row>
    <row r="217" spans="1:23" ht="11.25" customHeight="1" x14ac:dyDescent="0.3">
      <c r="A217" s="3" t="s">
        <v>21</v>
      </c>
      <c r="B217" s="3" t="s">
        <v>42</v>
      </c>
      <c r="C217" s="3" t="s">
        <v>23</v>
      </c>
      <c r="D217" s="3" t="s">
        <v>43</v>
      </c>
      <c r="E217" s="3" t="s">
        <v>54</v>
      </c>
      <c r="F217" s="3" t="s">
        <v>53</v>
      </c>
      <c r="G217" s="3" t="s">
        <v>25</v>
      </c>
      <c r="H217" s="3" t="s">
        <v>25</v>
      </c>
      <c r="I217" s="6">
        <v>44621</v>
      </c>
      <c r="J217" s="4">
        <v>0</v>
      </c>
      <c r="K217" s="4">
        <v>0</v>
      </c>
      <c r="L217" s="4">
        <v>2.3809999999999998</v>
      </c>
      <c r="M217" s="4">
        <v>0.95240000000000002</v>
      </c>
      <c r="N217" s="4">
        <v>2.3809999999999998</v>
      </c>
      <c r="O217" s="4">
        <v>0.95240000000000002</v>
      </c>
      <c r="P217" s="4">
        <v>0</v>
      </c>
      <c r="Q217" s="3" t="s">
        <v>26</v>
      </c>
      <c r="R217" s="3">
        <v>0</v>
      </c>
      <c r="S217" s="3" t="s">
        <v>195</v>
      </c>
      <c r="T217" s="3" t="s">
        <v>356</v>
      </c>
      <c r="U217" s="3">
        <v>0</v>
      </c>
      <c r="V217" s="3">
        <v>31</v>
      </c>
      <c r="W217" s="3">
        <v>69</v>
      </c>
    </row>
    <row r="218" spans="1:23" ht="11.25" customHeight="1" x14ac:dyDescent="0.3">
      <c r="A218" s="3" t="s">
        <v>21</v>
      </c>
      <c r="B218" s="3" t="s">
        <v>42</v>
      </c>
      <c r="C218" s="3" t="s">
        <v>23</v>
      </c>
      <c r="D218" s="3" t="s">
        <v>43</v>
      </c>
      <c r="E218" s="3" t="s">
        <v>54</v>
      </c>
      <c r="F218" s="3" t="s">
        <v>53</v>
      </c>
      <c r="G218" s="3" t="s">
        <v>25</v>
      </c>
      <c r="H218" s="3" t="s">
        <v>25</v>
      </c>
      <c r="I218" s="6">
        <v>44652</v>
      </c>
      <c r="J218" s="4">
        <v>0</v>
      </c>
      <c r="K218" s="4">
        <v>0</v>
      </c>
      <c r="L218" s="4">
        <v>2.88</v>
      </c>
      <c r="M218" s="4">
        <v>1.1519999999999999</v>
      </c>
      <c r="N218" s="4">
        <v>2.88</v>
      </c>
      <c r="O218" s="4">
        <v>1.1519999999999999</v>
      </c>
      <c r="P218" s="4">
        <v>0</v>
      </c>
      <c r="Q218" s="3" t="s">
        <v>26</v>
      </c>
      <c r="R218" s="3">
        <v>0</v>
      </c>
      <c r="S218" s="3" t="s">
        <v>196</v>
      </c>
      <c r="T218" s="3" t="s">
        <v>357</v>
      </c>
      <c r="U218" s="3">
        <v>0</v>
      </c>
      <c r="V218" s="3">
        <v>31</v>
      </c>
      <c r="W218" s="3">
        <v>69</v>
      </c>
    </row>
    <row r="219" spans="1:23" ht="11.25" customHeight="1" x14ac:dyDescent="0.3">
      <c r="A219" s="3" t="s">
        <v>21</v>
      </c>
      <c r="B219" s="3" t="s">
        <v>42</v>
      </c>
      <c r="C219" s="3" t="s">
        <v>23</v>
      </c>
      <c r="D219" s="3" t="s">
        <v>43</v>
      </c>
      <c r="E219" s="3" t="s">
        <v>54</v>
      </c>
      <c r="F219" s="3" t="s">
        <v>53</v>
      </c>
      <c r="G219" s="3" t="s">
        <v>25</v>
      </c>
      <c r="H219" s="3" t="s">
        <v>25</v>
      </c>
      <c r="I219" s="6">
        <v>44682</v>
      </c>
      <c r="J219" s="4">
        <v>0</v>
      </c>
      <c r="K219" s="4">
        <v>0</v>
      </c>
      <c r="L219" s="4">
        <v>2.907</v>
      </c>
      <c r="M219" s="4">
        <v>1.1628000000000001</v>
      </c>
      <c r="N219" s="4">
        <v>2.907</v>
      </c>
      <c r="O219" s="4">
        <v>1.1628000000000001</v>
      </c>
      <c r="P219" s="4">
        <v>0</v>
      </c>
      <c r="Q219" s="3" t="s">
        <v>26</v>
      </c>
      <c r="R219" s="3">
        <v>0</v>
      </c>
      <c r="S219" s="3" t="s">
        <v>197</v>
      </c>
      <c r="T219" s="3" t="s">
        <v>358</v>
      </c>
      <c r="U219" s="3">
        <v>0</v>
      </c>
      <c r="V219" s="3">
        <v>31</v>
      </c>
      <c r="W219" s="3">
        <v>69</v>
      </c>
    </row>
    <row r="220" spans="1:23" ht="11.25" customHeight="1" x14ac:dyDescent="0.3">
      <c r="A220" s="3" t="s">
        <v>21</v>
      </c>
      <c r="B220" s="3" t="s">
        <v>42</v>
      </c>
      <c r="C220" s="3" t="s">
        <v>23</v>
      </c>
      <c r="D220" s="3" t="s">
        <v>43</v>
      </c>
      <c r="E220" s="3" t="s">
        <v>54</v>
      </c>
      <c r="F220" s="3" t="s">
        <v>53</v>
      </c>
      <c r="G220" s="3" t="s">
        <v>25</v>
      </c>
      <c r="H220" s="3" t="s">
        <v>25</v>
      </c>
      <c r="I220" s="6">
        <v>44713</v>
      </c>
      <c r="J220" s="4">
        <v>0</v>
      </c>
      <c r="K220" s="4">
        <v>0</v>
      </c>
      <c r="L220" s="4">
        <v>0.53700000000000003</v>
      </c>
      <c r="M220" s="4">
        <v>0.21479999999999999</v>
      </c>
      <c r="N220" s="4">
        <v>0.53700000000000003</v>
      </c>
      <c r="O220" s="4">
        <v>0.21479999999999999</v>
      </c>
      <c r="P220" s="4">
        <v>0</v>
      </c>
      <c r="Q220" s="3" t="s">
        <v>26</v>
      </c>
      <c r="R220" s="3">
        <v>0</v>
      </c>
      <c r="S220" s="3" t="s">
        <v>198</v>
      </c>
      <c r="T220" s="3" t="s">
        <v>359</v>
      </c>
      <c r="U220" s="3">
        <v>0</v>
      </c>
      <c r="V220" s="3">
        <v>31</v>
      </c>
      <c r="W220" s="3">
        <v>69</v>
      </c>
    </row>
    <row r="221" spans="1:23" ht="11.25" customHeight="1" x14ac:dyDescent="0.3">
      <c r="A221" s="3" t="s">
        <v>21</v>
      </c>
      <c r="B221" s="3" t="s">
        <v>42</v>
      </c>
      <c r="C221" s="3" t="s">
        <v>23</v>
      </c>
      <c r="D221" s="3" t="s">
        <v>43</v>
      </c>
      <c r="E221" s="3" t="s">
        <v>54</v>
      </c>
      <c r="F221" s="3" t="s">
        <v>53</v>
      </c>
      <c r="G221" s="3" t="s">
        <v>25</v>
      </c>
      <c r="H221" s="3" t="s">
        <v>25</v>
      </c>
      <c r="I221" s="6">
        <v>44743</v>
      </c>
      <c r="J221" s="4">
        <v>0</v>
      </c>
      <c r="K221" s="4">
        <v>0</v>
      </c>
      <c r="L221" s="4">
        <v>0.435</v>
      </c>
      <c r="M221" s="4">
        <v>0.17399999999999999</v>
      </c>
      <c r="N221" s="4">
        <v>0.435</v>
      </c>
      <c r="O221" s="4">
        <v>0.17399999999999999</v>
      </c>
      <c r="P221" s="4">
        <v>0</v>
      </c>
      <c r="Q221" s="3" t="s">
        <v>26</v>
      </c>
      <c r="R221" s="3">
        <v>0</v>
      </c>
      <c r="S221" s="3" t="s">
        <v>199</v>
      </c>
      <c r="T221" s="3" t="s">
        <v>360</v>
      </c>
      <c r="U221" s="3">
        <v>0</v>
      </c>
      <c r="V221" s="3">
        <v>31</v>
      </c>
      <c r="W221" s="3">
        <v>69</v>
      </c>
    </row>
    <row r="222" spans="1:23" ht="11.25" customHeight="1" x14ac:dyDescent="0.3">
      <c r="A222" s="3" t="s">
        <v>55</v>
      </c>
      <c r="B222" s="3" t="s">
        <v>42</v>
      </c>
      <c r="C222" s="3" t="s">
        <v>23</v>
      </c>
      <c r="D222" s="3" t="s">
        <v>43</v>
      </c>
      <c r="E222" s="3" t="s">
        <v>54</v>
      </c>
      <c r="F222" s="3" t="s">
        <v>53</v>
      </c>
      <c r="G222" s="3" t="s">
        <v>25</v>
      </c>
      <c r="H222" s="3" t="s">
        <v>25</v>
      </c>
      <c r="I222" s="6">
        <v>44774</v>
      </c>
      <c r="J222" s="4">
        <v>0</v>
      </c>
      <c r="K222" s="4">
        <v>0</v>
      </c>
      <c r="L222" s="4">
        <v>0.435</v>
      </c>
      <c r="M222" s="4">
        <v>0.17399999999999999</v>
      </c>
      <c r="N222" s="4">
        <v>0.435</v>
      </c>
      <c r="O222" s="4">
        <v>0.17399999999999999</v>
      </c>
      <c r="P222" s="4">
        <v>0</v>
      </c>
      <c r="Q222" s="3" t="s">
        <v>26</v>
      </c>
      <c r="R222" s="3">
        <v>0</v>
      </c>
      <c r="S222" s="3" t="s">
        <v>200</v>
      </c>
      <c r="T222" s="3" t="s">
        <v>361</v>
      </c>
      <c r="U222" s="3">
        <v>0</v>
      </c>
      <c r="V222" s="3">
        <v>31</v>
      </c>
      <c r="W222" s="3">
        <v>69</v>
      </c>
    </row>
    <row r="223" spans="1:23" ht="11.25" customHeight="1" x14ac:dyDescent="0.3">
      <c r="A223" s="3" t="s">
        <v>21</v>
      </c>
      <c r="B223" s="3" t="s">
        <v>42</v>
      </c>
      <c r="C223" s="3" t="s">
        <v>23</v>
      </c>
      <c r="D223" s="3" t="s">
        <v>43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44440</v>
      </c>
      <c r="J223" s="4">
        <v>0</v>
      </c>
      <c r="K223" s="4">
        <v>0</v>
      </c>
      <c r="L223" s="4">
        <v>370.56599999999997</v>
      </c>
      <c r="M223" s="4">
        <v>370.56599999999997</v>
      </c>
      <c r="N223" s="4">
        <v>370.56599999999997</v>
      </c>
      <c r="O223" s="4">
        <v>370.56599999999997</v>
      </c>
      <c r="P223" s="4">
        <v>1600</v>
      </c>
      <c r="Q223" s="3" t="s">
        <v>26</v>
      </c>
      <c r="R223" s="3">
        <v>0</v>
      </c>
      <c r="S223" s="3" t="s">
        <v>189</v>
      </c>
      <c r="T223" s="3" t="s">
        <v>350</v>
      </c>
      <c r="U223" s="3">
        <v>0</v>
      </c>
      <c r="V223" s="3">
        <v>31</v>
      </c>
      <c r="W223" s="3">
        <v>69</v>
      </c>
    </row>
    <row r="224" spans="1:23" ht="11.25" customHeight="1" x14ac:dyDescent="0.3">
      <c r="A224" s="3" t="s">
        <v>27</v>
      </c>
      <c r="B224" s="3" t="s">
        <v>42</v>
      </c>
      <c r="C224" s="3" t="s">
        <v>23</v>
      </c>
      <c r="D224" s="3" t="s">
        <v>43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44440</v>
      </c>
      <c r="J224" s="4">
        <v>0</v>
      </c>
      <c r="K224" s="4">
        <v>0</v>
      </c>
      <c r="L224" s="4">
        <v>-0.499</v>
      </c>
      <c r="M224" s="4">
        <v>-0.499</v>
      </c>
      <c r="N224" s="4">
        <v>-0.499</v>
      </c>
      <c r="O224" s="4">
        <v>-0.499</v>
      </c>
      <c r="P224" s="4">
        <v>0</v>
      </c>
      <c r="Q224" s="3" t="s">
        <v>26</v>
      </c>
      <c r="R224" s="3">
        <v>0</v>
      </c>
      <c r="S224" s="3" t="s">
        <v>189</v>
      </c>
      <c r="T224" s="3" t="s">
        <v>350</v>
      </c>
      <c r="U224" s="3">
        <v>0</v>
      </c>
      <c r="V224" s="3">
        <v>31</v>
      </c>
      <c r="W224" s="3">
        <v>69</v>
      </c>
    </row>
    <row r="225" spans="1:23" ht="11.25" customHeight="1" x14ac:dyDescent="0.3">
      <c r="A225" s="3" t="s">
        <v>28</v>
      </c>
      <c r="B225" s="3" t="s">
        <v>42</v>
      </c>
      <c r="C225" s="3" t="s">
        <v>23</v>
      </c>
      <c r="D225" s="3" t="s">
        <v>43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44440</v>
      </c>
      <c r="J225" s="4">
        <v>0</v>
      </c>
      <c r="K225" s="4">
        <v>0</v>
      </c>
      <c r="L225" s="4">
        <v>1.986</v>
      </c>
      <c r="M225" s="4">
        <v>1.986</v>
      </c>
      <c r="N225" s="4">
        <v>1.986</v>
      </c>
      <c r="O225" s="4">
        <v>1.986</v>
      </c>
      <c r="P225" s="4">
        <v>17</v>
      </c>
      <c r="Q225" s="3" t="s">
        <v>26</v>
      </c>
      <c r="R225" s="3">
        <v>0</v>
      </c>
      <c r="S225" s="3" t="s">
        <v>189</v>
      </c>
      <c r="T225" s="3" t="s">
        <v>350</v>
      </c>
      <c r="U225" s="3">
        <v>0</v>
      </c>
      <c r="V225" s="3">
        <v>31</v>
      </c>
      <c r="W225" s="3">
        <v>69</v>
      </c>
    </row>
    <row r="226" spans="1:23" ht="11.25" customHeight="1" x14ac:dyDescent="0.3">
      <c r="A226" s="3" t="s">
        <v>21</v>
      </c>
      <c r="B226" s="3" t="s">
        <v>42</v>
      </c>
      <c r="C226" s="3" t="s">
        <v>23</v>
      </c>
      <c r="D226" s="3" t="s">
        <v>43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44470</v>
      </c>
      <c r="J226" s="4">
        <v>0</v>
      </c>
      <c r="K226" s="4">
        <v>0</v>
      </c>
      <c r="L226" s="4">
        <v>391.22899999999998</v>
      </c>
      <c r="M226" s="4">
        <v>391.22899999999998</v>
      </c>
      <c r="N226" s="4">
        <v>391.22899999999998</v>
      </c>
      <c r="O226" s="4">
        <v>391.22899999999998</v>
      </c>
      <c r="P226" s="4">
        <v>1640</v>
      </c>
      <c r="Q226" s="3" t="s">
        <v>26</v>
      </c>
      <c r="R226" s="3">
        <v>0</v>
      </c>
      <c r="S226" s="3" t="s">
        <v>190</v>
      </c>
      <c r="T226" s="3" t="s">
        <v>351</v>
      </c>
      <c r="U226" s="3">
        <v>0</v>
      </c>
      <c r="V226" s="3">
        <v>31</v>
      </c>
      <c r="W226" s="3">
        <v>69</v>
      </c>
    </row>
    <row r="227" spans="1:23" ht="11.25" customHeight="1" x14ac:dyDescent="0.3">
      <c r="A227" s="3" t="s">
        <v>27</v>
      </c>
      <c r="B227" s="3" t="s">
        <v>42</v>
      </c>
      <c r="C227" s="3" t="s">
        <v>23</v>
      </c>
      <c r="D227" s="3" t="s">
        <v>43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44470</v>
      </c>
      <c r="J227" s="4">
        <v>0</v>
      </c>
      <c r="K227" s="4">
        <v>0</v>
      </c>
      <c r="L227" s="4">
        <v>-0.153</v>
      </c>
      <c r="M227" s="4">
        <v>-0.153</v>
      </c>
      <c r="N227" s="4">
        <v>-0.153</v>
      </c>
      <c r="O227" s="4">
        <v>-0.153</v>
      </c>
      <c r="P227" s="4">
        <v>0</v>
      </c>
      <c r="Q227" s="3" t="s">
        <v>26</v>
      </c>
      <c r="R227" s="3">
        <v>0</v>
      </c>
      <c r="S227" s="3" t="s">
        <v>190</v>
      </c>
      <c r="T227" s="3" t="s">
        <v>351</v>
      </c>
      <c r="U227" s="3">
        <v>0</v>
      </c>
      <c r="V227" s="3">
        <v>31</v>
      </c>
      <c r="W227" s="3">
        <v>69</v>
      </c>
    </row>
    <row r="228" spans="1:23" ht="11.25" customHeight="1" x14ac:dyDescent="0.3">
      <c r="A228" s="3" t="s">
        <v>28</v>
      </c>
      <c r="B228" s="3" t="s">
        <v>42</v>
      </c>
      <c r="C228" s="3" t="s">
        <v>23</v>
      </c>
      <c r="D228" s="3" t="s">
        <v>43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44470</v>
      </c>
      <c r="J228" s="4">
        <v>0</v>
      </c>
      <c r="K228" s="4">
        <v>0</v>
      </c>
      <c r="L228" s="4">
        <v>2.456</v>
      </c>
      <c r="M228" s="4">
        <v>2.456</v>
      </c>
      <c r="N228" s="4">
        <v>2.456</v>
      </c>
      <c r="O228" s="4">
        <v>2.456</v>
      </c>
      <c r="P228" s="4">
        <v>18</v>
      </c>
      <c r="Q228" s="3" t="s">
        <v>26</v>
      </c>
      <c r="R228" s="3">
        <v>0</v>
      </c>
      <c r="S228" s="3" t="s">
        <v>190</v>
      </c>
      <c r="T228" s="3" t="s">
        <v>351</v>
      </c>
      <c r="U228" s="3">
        <v>0</v>
      </c>
      <c r="V228" s="3">
        <v>31</v>
      </c>
      <c r="W228" s="3">
        <v>69</v>
      </c>
    </row>
    <row r="229" spans="1:23" ht="11.25" customHeight="1" x14ac:dyDescent="0.3">
      <c r="A229" s="3" t="s">
        <v>21</v>
      </c>
      <c r="B229" s="3" t="s">
        <v>42</v>
      </c>
      <c r="C229" s="3" t="s">
        <v>23</v>
      </c>
      <c r="D229" s="3" t="s">
        <v>43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44501</v>
      </c>
      <c r="J229" s="4">
        <v>0</v>
      </c>
      <c r="K229" s="4">
        <v>0</v>
      </c>
      <c r="L229" s="4">
        <v>501.84</v>
      </c>
      <c r="M229" s="4">
        <v>501.84</v>
      </c>
      <c r="N229" s="4">
        <v>501.84</v>
      </c>
      <c r="O229" s="4">
        <v>501.84</v>
      </c>
      <c r="P229" s="4">
        <v>1656</v>
      </c>
      <c r="Q229" s="3" t="s">
        <v>26</v>
      </c>
      <c r="R229" s="3">
        <v>0</v>
      </c>
      <c r="S229" s="3" t="s">
        <v>191</v>
      </c>
      <c r="T229" s="3" t="s">
        <v>352</v>
      </c>
      <c r="U229" s="3">
        <v>0</v>
      </c>
      <c r="V229" s="3">
        <v>31</v>
      </c>
      <c r="W229" s="3">
        <v>69</v>
      </c>
    </row>
    <row r="230" spans="1:23" ht="11.25" customHeight="1" x14ac:dyDescent="0.3">
      <c r="A230" s="3" t="s">
        <v>28</v>
      </c>
      <c r="B230" s="3" t="s">
        <v>42</v>
      </c>
      <c r="C230" s="3" t="s">
        <v>23</v>
      </c>
      <c r="D230" s="3" t="s">
        <v>43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44501</v>
      </c>
      <c r="J230" s="4">
        <v>0</v>
      </c>
      <c r="K230" s="4">
        <v>0</v>
      </c>
      <c r="L230" s="4">
        <v>6.399</v>
      </c>
      <c r="M230" s="4">
        <v>6.399</v>
      </c>
      <c r="N230" s="4">
        <v>6.399</v>
      </c>
      <c r="O230" s="4">
        <v>6.399</v>
      </c>
      <c r="P230" s="4">
        <v>21</v>
      </c>
      <c r="Q230" s="3" t="s">
        <v>26</v>
      </c>
      <c r="R230" s="3">
        <v>0</v>
      </c>
      <c r="S230" s="3" t="s">
        <v>191</v>
      </c>
      <c r="T230" s="3" t="s">
        <v>352</v>
      </c>
      <c r="U230" s="3">
        <v>0</v>
      </c>
      <c r="V230" s="3">
        <v>31</v>
      </c>
      <c r="W230" s="3">
        <v>69</v>
      </c>
    </row>
    <row r="231" spans="1:23" ht="11.25" customHeight="1" x14ac:dyDescent="0.3">
      <c r="A231" s="3" t="s">
        <v>21</v>
      </c>
      <c r="B231" s="3" t="s">
        <v>42</v>
      </c>
      <c r="C231" s="3" t="s">
        <v>23</v>
      </c>
      <c r="D231" s="3" t="s">
        <v>43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530.64599999999996</v>
      </c>
      <c r="M231" s="4">
        <v>530.64599999999996</v>
      </c>
      <c r="N231" s="4">
        <v>530.64599999999996</v>
      </c>
      <c r="O231" s="4">
        <v>530.64599999999996</v>
      </c>
      <c r="P231" s="4">
        <v>1664</v>
      </c>
      <c r="Q231" s="3" t="s">
        <v>26</v>
      </c>
      <c r="R231" s="3">
        <v>0</v>
      </c>
      <c r="S231" s="3" t="s">
        <v>192</v>
      </c>
      <c r="T231" s="3" t="s">
        <v>353</v>
      </c>
      <c r="U231" s="3">
        <v>0</v>
      </c>
      <c r="V231" s="3">
        <v>31</v>
      </c>
      <c r="W231" s="3">
        <v>69</v>
      </c>
    </row>
    <row r="232" spans="1:23" ht="11.25" customHeight="1" x14ac:dyDescent="0.3">
      <c r="A232" s="3" t="s">
        <v>27</v>
      </c>
      <c r="B232" s="3" t="s">
        <v>42</v>
      </c>
      <c r="C232" s="3" t="s">
        <v>23</v>
      </c>
      <c r="D232" s="3" t="s">
        <v>43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44531</v>
      </c>
      <c r="J232" s="4">
        <v>0</v>
      </c>
      <c r="K232" s="4">
        <v>0</v>
      </c>
      <c r="L232" s="4">
        <v>-0.61599999999999999</v>
      </c>
      <c r="M232" s="4">
        <v>-0.61599999999999999</v>
      </c>
      <c r="N232" s="4">
        <v>-0.61599999999999999</v>
      </c>
      <c r="O232" s="4">
        <v>-0.61599999999999999</v>
      </c>
      <c r="P232" s="4">
        <v>0</v>
      </c>
      <c r="Q232" s="3" t="s">
        <v>26</v>
      </c>
      <c r="R232" s="3">
        <v>0</v>
      </c>
      <c r="S232" s="3" t="s">
        <v>192</v>
      </c>
      <c r="T232" s="3" t="s">
        <v>353</v>
      </c>
      <c r="U232" s="3">
        <v>0</v>
      </c>
      <c r="V232" s="3">
        <v>31</v>
      </c>
      <c r="W232" s="3">
        <v>69</v>
      </c>
    </row>
    <row r="233" spans="1:23" ht="11.25" customHeight="1" x14ac:dyDescent="0.3">
      <c r="A233" s="3" t="s">
        <v>28</v>
      </c>
      <c r="B233" s="3" t="s">
        <v>42</v>
      </c>
      <c r="C233" s="3" t="s">
        <v>23</v>
      </c>
      <c r="D233" s="3" t="s">
        <v>43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44531</v>
      </c>
      <c r="J233" s="4">
        <v>0</v>
      </c>
      <c r="K233" s="4">
        <v>0</v>
      </c>
      <c r="L233" s="4">
        <v>11.766</v>
      </c>
      <c r="M233" s="4">
        <v>11.766</v>
      </c>
      <c r="N233" s="4">
        <v>11.766</v>
      </c>
      <c r="O233" s="4">
        <v>11.766</v>
      </c>
      <c r="P233" s="4">
        <v>21</v>
      </c>
      <c r="Q233" s="3" t="s">
        <v>26</v>
      </c>
      <c r="R233" s="3">
        <v>0</v>
      </c>
      <c r="S233" s="3" t="s">
        <v>192</v>
      </c>
      <c r="T233" s="3" t="s">
        <v>353</v>
      </c>
      <c r="U233" s="3">
        <v>0</v>
      </c>
      <c r="V233" s="3">
        <v>31</v>
      </c>
      <c r="W233" s="3">
        <v>69</v>
      </c>
    </row>
    <row r="234" spans="1:23" ht="11.25" customHeight="1" x14ac:dyDescent="0.3">
      <c r="A234" s="3" t="s">
        <v>21</v>
      </c>
      <c r="B234" s="3" t="s">
        <v>42</v>
      </c>
      <c r="C234" s="3" t="s">
        <v>23</v>
      </c>
      <c r="D234" s="3" t="s">
        <v>43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44562</v>
      </c>
      <c r="J234" s="4">
        <v>0</v>
      </c>
      <c r="K234" s="4">
        <v>0</v>
      </c>
      <c r="L234" s="4">
        <v>526.49800000000005</v>
      </c>
      <c r="M234" s="4">
        <v>526.49800000000005</v>
      </c>
      <c r="N234" s="4">
        <v>526.49800000000005</v>
      </c>
      <c r="O234" s="4">
        <v>526.49800000000005</v>
      </c>
      <c r="P234" s="4">
        <v>1665</v>
      </c>
      <c r="Q234" s="3" t="s">
        <v>26</v>
      </c>
      <c r="R234" s="3">
        <v>0</v>
      </c>
      <c r="S234" s="3" t="s">
        <v>193</v>
      </c>
      <c r="T234" s="3" t="s">
        <v>354</v>
      </c>
      <c r="U234" s="3">
        <v>0</v>
      </c>
      <c r="V234" s="3">
        <v>31</v>
      </c>
      <c r="W234" s="3">
        <v>69</v>
      </c>
    </row>
    <row r="235" spans="1:23" ht="11.25" customHeight="1" x14ac:dyDescent="0.3">
      <c r="A235" s="3" t="s">
        <v>27</v>
      </c>
      <c r="B235" s="3" t="s">
        <v>42</v>
      </c>
      <c r="C235" s="3" t="s">
        <v>23</v>
      </c>
      <c r="D235" s="3" t="s">
        <v>43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44562</v>
      </c>
      <c r="J235" s="4">
        <v>0</v>
      </c>
      <c r="K235" s="4">
        <v>0</v>
      </c>
      <c r="L235" s="4">
        <v>-0.33300000000000002</v>
      </c>
      <c r="M235" s="4">
        <v>-0.33300000000000002</v>
      </c>
      <c r="N235" s="4">
        <v>-0.33300000000000002</v>
      </c>
      <c r="O235" s="4">
        <v>-0.33300000000000002</v>
      </c>
      <c r="P235" s="4">
        <v>0</v>
      </c>
      <c r="Q235" s="3" t="s">
        <v>26</v>
      </c>
      <c r="R235" s="3">
        <v>0</v>
      </c>
      <c r="S235" s="3" t="s">
        <v>193</v>
      </c>
      <c r="T235" s="3" t="s">
        <v>354</v>
      </c>
      <c r="U235" s="3">
        <v>0</v>
      </c>
      <c r="V235" s="3">
        <v>31</v>
      </c>
      <c r="W235" s="3">
        <v>69</v>
      </c>
    </row>
    <row r="236" spans="1:23" ht="11.25" customHeight="1" x14ac:dyDescent="0.3">
      <c r="A236" s="3" t="s">
        <v>28</v>
      </c>
      <c r="B236" s="3" t="s">
        <v>42</v>
      </c>
      <c r="C236" s="3" t="s">
        <v>23</v>
      </c>
      <c r="D236" s="3" t="s">
        <v>43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44562</v>
      </c>
      <c r="J236" s="4">
        <v>0</v>
      </c>
      <c r="K236" s="4">
        <v>0</v>
      </c>
      <c r="L236" s="4">
        <v>6.0789999999999997</v>
      </c>
      <c r="M236" s="4">
        <v>6.0789999999999997</v>
      </c>
      <c r="N236" s="4">
        <v>6.0789999999999997</v>
      </c>
      <c r="O236" s="4">
        <v>6.0789999999999997</v>
      </c>
      <c r="P236" s="4">
        <v>22</v>
      </c>
      <c r="Q236" s="3" t="s">
        <v>26</v>
      </c>
      <c r="R236" s="3">
        <v>0</v>
      </c>
      <c r="S236" s="3" t="s">
        <v>193</v>
      </c>
      <c r="T236" s="3" t="s">
        <v>354</v>
      </c>
      <c r="U236" s="3">
        <v>0</v>
      </c>
      <c r="V236" s="3">
        <v>31</v>
      </c>
      <c r="W236" s="3">
        <v>69</v>
      </c>
    </row>
    <row r="237" spans="1:23" ht="11.25" customHeight="1" x14ac:dyDescent="0.3">
      <c r="A237" s="3" t="s">
        <v>21</v>
      </c>
      <c r="B237" s="3" t="s">
        <v>42</v>
      </c>
      <c r="C237" s="3" t="s">
        <v>23</v>
      </c>
      <c r="D237" s="3" t="s">
        <v>43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44593</v>
      </c>
      <c r="J237" s="4">
        <v>0</v>
      </c>
      <c r="K237" s="4">
        <v>0</v>
      </c>
      <c r="L237" s="4">
        <v>527.05999999999995</v>
      </c>
      <c r="M237" s="4">
        <v>527.05999999999995</v>
      </c>
      <c r="N237" s="4">
        <v>527.05999999999995</v>
      </c>
      <c r="O237" s="4">
        <v>527.05999999999995</v>
      </c>
      <c r="P237" s="4">
        <v>1666</v>
      </c>
      <c r="Q237" s="3" t="s">
        <v>26</v>
      </c>
      <c r="R237" s="3">
        <v>0</v>
      </c>
      <c r="S237" s="3" t="s">
        <v>194</v>
      </c>
      <c r="T237" s="3" t="s">
        <v>355</v>
      </c>
      <c r="U237" s="3">
        <v>0</v>
      </c>
      <c r="V237" s="3">
        <v>31</v>
      </c>
      <c r="W237" s="3">
        <v>69</v>
      </c>
    </row>
    <row r="238" spans="1:23" ht="11.25" customHeight="1" x14ac:dyDescent="0.3">
      <c r="A238" s="3" t="s">
        <v>27</v>
      </c>
      <c r="B238" s="3" t="s">
        <v>42</v>
      </c>
      <c r="C238" s="3" t="s">
        <v>23</v>
      </c>
      <c r="D238" s="3" t="s">
        <v>43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44593</v>
      </c>
      <c r="J238" s="4">
        <v>0</v>
      </c>
      <c r="K238" s="4">
        <v>0</v>
      </c>
      <c r="L238" s="4">
        <v>-2.5049999999999999</v>
      </c>
      <c r="M238" s="4">
        <v>-2.5049999999999999</v>
      </c>
      <c r="N238" s="4">
        <v>-2.5049999999999999</v>
      </c>
      <c r="O238" s="4">
        <v>-2.5049999999999999</v>
      </c>
      <c r="P238" s="4">
        <v>0</v>
      </c>
      <c r="Q238" s="3" t="s">
        <v>26</v>
      </c>
      <c r="R238" s="3">
        <v>0</v>
      </c>
      <c r="S238" s="3" t="s">
        <v>194</v>
      </c>
      <c r="T238" s="3" t="s">
        <v>355</v>
      </c>
      <c r="U238" s="3">
        <v>0</v>
      </c>
      <c r="V238" s="3">
        <v>31</v>
      </c>
      <c r="W238" s="3">
        <v>69</v>
      </c>
    </row>
    <row r="239" spans="1:23" ht="11.25" customHeight="1" x14ac:dyDescent="0.3">
      <c r="A239" s="3" t="s">
        <v>28</v>
      </c>
      <c r="B239" s="3" t="s">
        <v>42</v>
      </c>
      <c r="C239" s="3" t="s">
        <v>23</v>
      </c>
      <c r="D239" s="3" t="s">
        <v>43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44593</v>
      </c>
      <c r="J239" s="4">
        <v>0</v>
      </c>
      <c r="K239" s="4">
        <v>0</v>
      </c>
      <c r="L239" s="4">
        <v>2.11</v>
      </c>
      <c r="M239" s="4">
        <v>2.11</v>
      </c>
      <c r="N239" s="4">
        <v>2.11</v>
      </c>
      <c r="O239" s="4">
        <v>2.11</v>
      </c>
      <c r="P239" s="4">
        <v>19</v>
      </c>
      <c r="Q239" s="3" t="s">
        <v>26</v>
      </c>
      <c r="R239" s="3">
        <v>0</v>
      </c>
      <c r="S239" s="3" t="s">
        <v>194</v>
      </c>
      <c r="T239" s="3" t="s">
        <v>355</v>
      </c>
      <c r="U239" s="3">
        <v>0</v>
      </c>
      <c r="V239" s="3">
        <v>31</v>
      </c>
      <c r="W239" s="3">
        <v>69</v>
      </c>
    </row>
    <row r="240" spans="1:23" ht="11.25" customHeight="1" x14ac:dyDescent="0.3">
      <c r="A240" s="3" t="s">
        <v>21</v>
      </c>
      <c r="B240" s="3" t="s">
        <v>42</v>
      </c>
      <c r="C240" s="3" t="s">
        <v>23</v>
      </c>
      <c r="D240" s="3" t="s">
        <v>43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44621</v>
      </c>
      <c r="J240" s="4">
        <v>0</v>
      </c>
      <c r="K240" s="4">
        <v>0</v>
      </c>
      <c r="L240" s="4">
        <v>463.68700000000001</v>
      </c>
      <c r="M240" s="4">
        <v>463.68700000000001</v>
      </c>
      <c r="N240" s="4">
        <v>463.68700000000001</v>
      </c>
      <c r="O240" s="4">
        <v>463.68700000000001</v>
      </c>
      <c r="P240" s="4">
        <v>1623</v>
      </c>
      <c r="Q240" s="3" t="s">
        <v>26</v>
      </c>
      <c r="R240" s="3">
        <v>0</v>
      </c>
      <c r="S240" s="3" t="s">
        <v>195</v>
      </c>
      <c r="T240" s="3" t="s">
        <v>356</v>
      </c>
      <c r="U240" s="3">
        <v>0</v>
      </c>
      <c r="V240" s="3">
        <v>31</v>
      </c>
      <c r="W240" s="3">
        <v>69</v>
      </c>
    </row>
    <row r="241" spans="1:23" ht="11.25" customHeight="1" x14ac:dyDescent="0.3">
      <c r="A241" s="3" t="s">
        <v>27</v>
      </c>
      <c r="B241" s="3" t="s">
        <v>42</v>
      </c>
      <c r="C241" s="3" t="s">
        <v>23</v>
      </c>
      <c r="D241" s="3" t="s">
        <v>43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44621</v>
      </c>
      <c r="J241" s="4">
        <v>0</v>
      </c>
      <c r="K241" s="4">
        <v>0</v>
      </c>
      <c r="L241" s="4">
        <v>-0.53400000000000003</v>
      </c>
      <c r="M241" s="4">
        <v>-0.53400000000000003</v>
      </c>
      <c r="N241" s="4">
        <v>-0.53400000000000003</v>
      </c>
      <c r="O241" s="4">
        <v>-0.53400000000000003</v>
      </c>
      <c r="P241" s="4">
        <v>0</v>
      </c>
      <c r="Q241" s="3" t="s">
        <v>26</v>
      </c>
      <c r="R241" s="3">
        <v>0</v>
      </c>
      <c r="S241" s="3" t="s">
        <v>195</v>
      </c>
      <c r="T241" s="3" t="s">
        <v>356</v>
      </c>
      <c r="U241" s="3">
        <v>0</v>
      </c>
      <c r="V241" s="3">
        <v>31</v>
      </c>
      <c r="W241" s="3">
        <v>69</v>
      </c>
    </row>
    <row r="242" spans="1:23" ht="11.25" customHeight="1" x14ac:dyDescent="0.3">
      <c r="A242" s="3" t="s">
        <v>28</v>
      </c>
      <c r="B242" s="3" t="s">
        <v>42</v>
      </c>
      <c r="C242" s="3" t="s">
        <v>23</v>
      </c>
      <c r="D242" s="3" t="s">
        <v>43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44621</v>
      </c>
      <c r="J242" s="4">
        <v>0</v>
      </c>
      <c r="K242" s="4">
        <v>0</v>
      </c>
      <c r="L242" s="4">
        <v>2.7160000000000002</v>
      </c>
      <c r="M242" s="4">
        <v>2.7160000000000002</v>
      </c>
      <c r="N242" s="4">
        <v>2.7160000000000002</v>
      </c>
      <c r="O242" s="4">
        <v>2.7160000000000002</v>
      </c>
      <c r="P242" s="4">
        <v>19</v>
      </c>
      <c r="Q242" s="3" t="s">
        <v>26</v>
      </c>
      <c r="R242" s="3">
        <v>0</v>
      </c>
      <c r="S242" s="3" t="s">
        <v>195</v>
      </c>
      <c r="T242" s="3" t="s">
        <v>356</v>
      </c>
      <c r="U242" s="3">
        <v>0</v>
      </c>
      <c r="V242" s="3">
        <v>31</v>
      </c>
      <c r="W242" s="3">
        <v>69</v>
      </c>
    </row>
    <row r="243" spans="1:23" ht="11.25" customHeight="1" x14ac:dyDescent="0.3">
      <c r="A243" s="3" t="s">
        <v>21</v>
      </c>
      <c r="B243" s="3" t="s">
        <v>42</v>
      </c>
      <c r="C243" s="3" t="s">
        <v>23</v>
      </c>
      <c r="D243" s="3" t="s">
        <v>43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44652</v>
      </c>
      <c r="J243" s="4">
        <v>0</v>
      </c>
      <c r="K243" s="4">
        <v>0</v>
      </c>
      <c r="L243" s="4">
        <v>504.02499999999998</v>
      </c>
      <c r="M243" s="4">
        <v>504.02499999999998</v>
      </c>
      <c r="N243" s="4">
        <v>504.02499999999998</v>
      </c>
      <c r="O243" s="4">
        <v>504.02499999999998</v>
      </c>
      <c r="P243" s="4">
        <v>1584</v>
      </c>
      <c r="Q243" s="3" t="s">
        <v>26</v>
      </c>
      <c r="R243" s="3">
        <v>0</v>
      </c>
      <c r="S243" s="3" t="s">
        <v>196</v>
      </c>
      <c r="T243" s="3" t="s">
        <v>357</v>
      </c>
      <c r="U243" s="3">
        <v>0</v>
      </c>
      <c r="V243" s="3">
        <v>31</v>
      </c>
      <c r="W243" s="3">
        <v>69</v>
      </c>
    </row>
    <row r="244" spans="1:23" ht="11.25" customHeight="1" x14ac:dyDescent="0.3">
      <c r="A244" s="3" t="s">
        <v>27</v>
      </c>
      <c r="B244" s="3" t="s">
        <v>42</v>
      </c>
      <c r="C244" s="3" t="s">
        <v>23</v>
      </c>
      <c r="D244" s="3" t="s">
        <v>43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44652</v>
      </c>
      <c r="J244" s="4">
        <v>0</v>
      </c>
      <c r="K244" s="4">
        <v>0</v>
      </c>
      <c r="L244" s="4">
        <v>-0.1</v>
      </c>
      <c r="M244" s="4">
        <v>-0.1</v>
      </c>
      <c r="N244" s="4">
        <v>-0.1</v>
      </c>
      <c r="O244" s="4">
        <v>-0.1</v>
      </c>
      <c r="P244" s="4">
        <v>0</v>
      </c>
      <c r="Q244" s="3" t="s">
        <v>26</v>
      </c>
      <c r="R244" s="3">
        <v>0</v>
      </c>
      <c r="S244" s="3" t="s">
        <v>196</v>
      </c>
      <c r="T244" s="3" t="s">
        <v>357</v>
      </c>
      <c r="U244" s="3">
        <v>0</v>
      </c>
      <c r="V244" s="3">
        <v>31</v>
      </c>
      <c r="W244" s="3">
        <v>69</v>
      </c>
    </row>
    <row r="245" spans="1:23" ht="11.25" customHeight="1" x14ac:dyDescent="0.3">
      <c r="A245" s="3" t="s">
        <v>28</v>
      </c>
      <c r="B245" s="3" t="s">
        <v>42</v>
      </c>
      <c r="C245" s="3" t="s">
        <v>23</v>
      </c>
      <c r="D245" s="3" t="s">
        <v>43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44652</v>
      </c>
      <c r="J245" s="4">
        <v>0</v>
      </c>
      <c r="K245" s="4">
        <v>0</v>
      </c>
      <c r="L245" s="4">
        <v>3.0870000000000002</v>
      </c>
      <c r="M245" s="4">
        <v>3.0870000000000002</v>
      </c>
      <c r="N245" s="4">
        <v>3.0870000000000002</v>
      </c>
      <c r="O245" s="4">
        <v>3.0870000000000002</v>
      </c>
      <c r="P245" s="4">
        <v>21</v>
      </c>
      <c r="Q245" s="3" t="s">
        <v>26</v>
      </c>
      <c r="R245" s="3">
        <v>0</v>
      </c>
      <c r="S245" s="3" t="s">
        <v>196</v>
      </c>
      <c r="T245" s="3" t="s">
        <v>357</v>
      </c>
      <c r="U245" s="3">
        <v>0</v>
      </c>
      <c r="V245" s="3">
        <v>31</v>
      </c>
      <c r="W245" s="3">
        <v>69</v>
      </c>
    </row>
    <row r="246" spans="1:23" ht="11.25" customHeight="1" x14ac:dyDescent="0.3">
      <c r="A246" s="3" t="s">
        <v>21</v>
      </c>
      <c r="B246" s="3" t="s">
        <v>42</v>
      </c>
      <c r="C246" s="3" t="s">
        <v>23</v>
      </c>
      <c r="D246" s="3" t="s">
        <v>43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44682</v>
      </c>
      <c r="J246" s="4">
        <v>0</v>
      </c>
      <c r="K246" s="4">
        <v>0</v>
      </c>
      <c r="L246" s="4">
        <v>404.67</v>
      </c>
      <c r="M246" s="4">
        <v>404.67</v>
      </c>
      <c r="N246" s="4">
        <v>404.67</v>
      </c>
      <c r="O246" s="4">
        <v>404.67</v>
      </c>
      <c r="P246" s="4">
        <v>1557</v>
      </c>
      <c r="Q246" s="3" t="s">
        <v>26</v>
      </c>
      <c r="R246" s="3">
        <v>0</v>
      </c>
      <c r="S246" s="3" t="s">
        <v>197</v>
      </c>
      <c r="T246" s="3" t="s">
        <v>358</v>
      </c>
      <c r="U246" s="3">
        <v>0</v>
      </c>
      <c r="V246" s="3">
        <v>31</v>
      </c>
      <c r="W246" s="3">
        <v>69</v>
      </c>
    </row>
    <row r="247" spans="1:23" ht="11.25" customHeight="1" x14ac:dyDescent="0.3">
      <c r="A247" s="3" t="s">
        <v>27</v>
      </c>
      <c r="B247" s="3" t="s">
        <v>42</v>
      </c>
      <c r="C247" s="3" t="s">
        <v>23</v>
      </c>
      <c r="D247" s="3" t="s">
        <v>43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44682</v>
      </c>
      <c r="J247" s="4">
        <v>0</v>
      </c>
      <c r="K247" s="4">
        <v>0</v>
      </c>
      <c r="L247" s="4">
        <v>-0.159</v>
      </c>
      <c r="M247" s="4">
        <v>-0.159</v>
      </c>
      <c r="N247" s="4">
        <v>-0.159</v>
      </c>
      <c r="O247" s="4">
        <v>-0.159</v>
      </c>
      <c r="P247" s="4">
        <v>0</v>
      </c>
      <c r="Q247" s="3" t="s">
        <v>26</v>
      </c>
      <c r="R247" s="3">
        <v>0</v>
      </c>
      <c r="S247" s="3" t="s">
        <v>197</v>
      </c>
      <c r="T247" s="3" t="s">
        <v>358</v>
      </c>
      <c r="U247" s="3">
        <v>0</v>
      </c>
      <c r="V247" s="3">
        <v>31</v>
      </c>
      <c r="W247" s="3">
        <v>69</v>
      </c>
    </row>
    <row r="248" spans="1:23" ht="11.25" customHeight="1" x14ac:dyDescent="0.3">
      <c r="A248" s="3" t="s">
        <v>28</v>
      </c>
      <c r="B248" s="3" t="s">
        <v>42</v>
      </c>
      <c r="C248" s="3" t="s">
        <v>23</v>
      </c>
      <c r="D248" s="3" t="s">
        <v>43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44682</v>
      </c>
      <c r="J248" s="4">
        <v>0</v>
      </c>
      <c r="K248" s="4">
        <v>0</v>
      </c>
      <c r="L248" s="4">
        <v>4.9390000000000001</v>
      </c>
      <c r="M248" s="4">
        <v>4.9390000000000001</v>
      </c>
      <c r="N248" s="4">
        <v>4.9390000000000001</v>
      </c>
      <c r="O248" s="4">
        <v>4.9390000000000001</v>
      </c>
      <c r="P248" s="4">
        <v>21</v>
      </c>
      <c r="Q248" s="3" t="s">
        <v>26</v>
      </c>
      <c r="R248" s="3">
        <v>0</v>
      </c>
      <c r="S248" s="3" t="s">
        <v>197</v>
      </c>
      <c r="T248" s="3" t="s">
        <v>358</v>
      </c>
      <c r="U248" s="3">
        <v>0</v>
      </c>
      <c r="V248" s="3">
        <v>31</v>
      </c>
      <c r="W248" s="3">
        <v>69</v>
      </c>
    </row>
    <row r="249" spans="1:23" ht="11.25" customHeight="1" x14ac:dyDescent="0.3">
      <c r="A249" s="3" t="s">
        <v>21</v>
      </c>
      <c r="B249" s="3" t="s">
        <v>42</v>
      </c>
      <c r="C249" s="3" t="s">
        <v>23</v>
      </c>
      <c r="D249" s="3" t="s">
        <v>43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44713</v>
      </c>
      <c r="J249" s="4">
        <v>0</v>
      </c>
      <c r="K249" s="4">
        <v>0</v>
      </c>
      <c r="L249" s="4">
        <v>383.12400000000002</v>
      </c>
      <c r="M249" s="4">
        <v>383.12400000000002</v>
      </c>
      <c r="N249" s="4">
        <v>383.12400000000002</v>
      </c>
      <c r="O249" s="4">
        <v>383.12400000000002</v>
      </c>
      <c r="P249" s="4">
        <v>1543</v>
      </c>
      <c r="Q249" s="3" t="s">
        <v>26</v>
      </c>
      <c r="R249" s="3">
        <v>0</v>
      </c>
      <c r="S249" s="3" t="s">
        <v>198</v>
      </c>
      <c r="T249" s="3" t="s">
        <v>359</v>
      </c>
      <c r="U249" s="3">
        <v>0</v>
      </c>
      <c r="V249" s="3">
        <v>31</v>
      </c>
      <c r="W249" s="3">
        <v>69</v>
      </c>
    </row>
    <row r="250" spans="1:23" ht="11.25" customHeight="1" x14ac:dyDescent="0.3">
      <c r="A250" s="3" t="s">
        <v>28</v>
      </c>
      <c r="B250" s="3" t="s">
        <v>42</v>
      </c>
      <c r="C250" s="3" t="s">
        <v>23</v>
      </c>
      <c r="D250" s="3" t="s">
        <v>43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44713</v>
      </c>
      <c r="J250" s="4">
        <v>0</v>
      </c>
      <c r="K250" s="4">
        <v>0</v>
      </c>
      <c r="L250" s="4">
        <v>7.4859999999999998</v>
      </c>
      <c r="M250" s="4">
        <v>7.4859999999999998</v>
      </c>
      <c r="N250" s="4">
        <v>7.4859999999999998</v>
      </c>
      <c r="O250" s="4">
        <v>7.4859999999999998</v>
      </c>
      <c r="P250" s="4">
        <v>22</v>
      </c>
      <c r="Q250" s="3" t="s">
        <v>26</v>
      </c>
      <c r="R250" s="3">
        <v>0</v>
      </c>
      <c r="S250" s="3" t="s">
        <v>198</v>
      </c>
      <c r="T250" s="3" t="s">
        <v>359</v>
      </c>
      <c r="U250" s="3">
        <v>0</v>
      </c>
      <c r="V250" s="3">
        <v>31</v>
      </c>
      <c r="W250" s="3">
        <v>69</v>
      </c>
    </row>
    <row r="251" spans="1:23" ht="11.25" customHeight="1" x14ac:dyDescent="0.3">
      <c r="A251" s="3" t="s">
        <v>21</v>
      </c>
      <c r="B251" s="3" t="s">
        <v>42</v>
      </c>
      <c r="C251" s="3" t="s">
        <v>23</v>
      </c>
      <c r="D251" s="3" t="s">
        <v>43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44743</v>
      </c>
      <c r="J251" s="4">
        <v>0</v>
      </c>
      <c r="K251" s="4">
        <v>0</v>
      </c>
      <c r="L251" s="4">
        <v>348.16500000000002</v>
      </c>
      <c r="M251" s="4">
        <v>348.16500000000002</v>
      </c>
      <c r="N251" s="4">
        <v>348.16500000000002</v>
      </c>
      <c r="O251" s="4">
        <v>348.16500000000002</v>
      </c>
      <c r="P251" s="4">
        <v>1534</v>
      </c>
      <c r="Q251" s="3" t="s">
        <v>26</v>
      </c>
      <c r="R251" s="3">
        <v>0</v>
      </c>
      <c r="S251" s="3" t="s">
        <v>199</v>
      </c>
      <c r="T251" s="3" t="s">
        <v>360</v>
      </c>
      <c r="U251" s="3">
        <v>0</v>
      </c>
      <c r="V251" s="3">
        <v>31</v>
      </c>
      <c r="W251" s="3">
        <v>69</v>
      </c>
    </row>
    <row r="252" spans="1:23" ht="11.25" customHeight="1" x14ac:dyDescent="0.3">
      <c r="A252" s="3" t="s">
        <v>27</v>
      </c>
      <c r="B252" s="3" t="s">
        <v>42</v>
      </c>
      <c r="C252" s="3" t="s">
        <v>23</v>
      </c>
      <c r="D252" s="3" t="s">
        <v>43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44743</v>
      </c>
      <c r="J252" s="4">
        <v>0</v>
      </c>
      <c r="K252" s="4">
        <v>0</v>
      </c>
      <c r="L252" s="4">
        <v>-3.19</v>
      </c>
      <c r="M252" s="4">
        <v>-3.19</v>
      </c>
      <c r="N252" s="4">
        <v>-3.19</v>
      </c>
      <c r="O252" s="4">
        <v>-3.19</v>
      </c>
      <c r="P252" s="4">
        <v>0</v>
      </c>
      <c r="Q252" s="3" t="s">
        <v>26</v>
      </c>
      <c r="R252" s="3">
        <v>0</v>
      </c>
      <c r="S252" s="3" t="s">
        <v>199</v>
      </c>
      <c r="T252" s="3" t="s">
        <v>360</v>
      </c>
      <c r="U252" s="3">
        <v>0</v>
      </c>
      <c r="V252" s="3">
        <v>31</v>
      </c>
      <c r="W252" s="3">
        <v>69</v>
      </c>
    </row>
    <row r="253" spans="1:23" ht="11.25" customHeight="1" x14ac:dyDescent="0.3">
      <c r="A253" s="3" t="s">
        <v>28</v>
      </c>
      <c r="B253" s="3" t="s">
        <v>42</v>
      </c>
      <c r="C253" s="3" t="s">
        <v>23</v>
      </c>
      <c r="D253" s="3" t="s">
        <v>43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44743</v>
      </c>
      <c r="J253" s="4">
        <v>0</v>
      </c>
      <c r="K253" s="4">
        <v>0</v>
      </c>
      <c r="L253" s="4">
        <v>9.1839999999999993</v>
      </c>
      <c r="M253" s="4">
        <v>9.1839999999999993</v>
      </c>
      <c r="N253" s="4">
        <v>9.1839999999999993</v>
      </c>
      <c r="O253" s="4">
        <v>9.1839999999999993</v>
      </c>
      <c r="P253" s="4">
        <v>25</v>
      </c>
      <c r="Q253" s="3" t="s">
        <v>26</v>
      </c>
      <c r="R253" s="3">
        <v>0</v>
      </c>
      <c r="S253" s="3" t="s">
        <v>199</v>
      </c>
      <c r="T253" s="3" t="s">
        <v>360</v>
      </c>
      <c r="U253" s="3">
        <v>0</v>
      </c>
      <c r="V253" s="3">
        <v>31</v>
      </c>
      <c r="W253" s="3">
        <v>69</v>
      </c>
    </row>
    <row r="254" spans="1:23" ht="11.25" customHeight="1" x14ac:dyDescent="0.3">
      <c r="A254" s="3" t="s">
        <v>55</v>
      </c>
      <c r="B254" s="3" t="s">
        <v>42</v>
      </c>
      <c r="C254" s="3" t="s">
        <v>23</v>
      </c>
      <c r="D254" s="3" t="s">
        <v>43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44774</v>
      </c>
      <c r="J254" s="4">
        <v>0</v>
      </c>
      <c r="K254" s="4">
        <v>0</v>
      </c>
      <c r="L254" s="4">
        <v>348.16500000000002</v>
      </c>
      <c r="M254" s="4">
        <v>348.16500000000002</v>
      </c>
      <c r="N254" s="4">
        <v>348.16500000000002</v>
      </c>
      <c r="O254" s="4">
        <v>348.16500000000002</v>
      </c>
      <c r="P254" s="4">
        <v>1534</v>
      </c>
      <c r="Q254" s="3" t="s">
        <v>26</v>
      </c>
      <c r="R254" s="3">
        <v>0</v>
      </c>
      <c r="S254" s="3" t="s">
        <v>200</v>
      </c>
      <c r="T254" s="3" t="s">
        <v>361</v>
      </c>
      <c r="U254" s="3">
        <v>0</v>
      </c>
      <c r="V254" s="3">
        <v>31</v>
      </c>
      <c r="W254" s="3">
        <v>69</v>
      </c>
    </row>
    <row r="255" spans="1:23" ht="11.25" customHeight="1" x14ac:dyDescent="0.3">
      <c r="A255" s="3" t="s">
        <v>55</v>
      </c>
      <c r="B255" s="3" t="s">
        <v>42</v>
      </c>
      <c r="C255" s="3" t="s">
        <v>23</v>
      </c>
      <c r="D255" s="3" t="s">
        <v>43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44774</v>
      </c>
      <c r="J255" s="4">
        <v>0</v>
      </c>
      <c r="K255" s="4">
        <v>0</v>
      </c>
      <c r="L255" s="4">
        <v>-3.19</v>
      </c>
      <c r="M255" s="4">
        <v>-3.19</v>
      </c>
      <c r="N255" s="4">
        <v>-3.19</v>
      </c>
      <c r="O255" s="4">
        <v>-3.19</v>
      </c>
      <c r="P255" s="4">
        <v>0</v>
      </c>
      <c r="Q255" s="3" t="s">
        <v>26</v>
      </c>
      <c r="R255" s="3">
        <v>0</v>
      </c>
      <c r="S255" s="3" t="s">
        <v>200</v>
      </c>
      <c r="T255" s="3" t="s">
        <v>361</v>
      </c>
      <c r="U255" s="3">
        <v>0</v>
      </c>
      <c r="V255" s="3">
        <v>31</v>
      </c>
      <c r="W255" s="3">
        <v>69</v>
      </c>
    </row>
    <row r="256" spans="1:23" ht="11.25" customHeight="1" x14ac:dyDescent="0.3">
      <c r="A256" s="3" t="s">
        <v>55</v>
      </c>
      <c r="B256" s="3" t="s">
        <v>42</v>
      </c>
      <c r="C256" s="3" t="s">
        <v>23</v>
      </c>
      <c r="D256" s="3" t="s">
        <v>43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44774</v>
      </c>
      <c r="J256" s="4">
        <v>0</v>
      </c>
      <c r="K256" s="4">
        <v>0</v>
      </c>
      <c r="L256" s="4">
        <v>9.1839999999999993</v>
      </c>
      <c r="M256" s="4">
        <v>9.1839999999999993</v>
      </c>
      <c r="N256" s="4">
        <v>9.1839999999999993</v>
      </c>
      <c r="O256" s="4">
        <v>9.1839999999999993</v>
      </c>
      <c r="P256" s="4">
        <v>25</v>
      </c>
      <c r="Q256" s="3" t="s">
        <v>26</v>
      </c>
      <c r="R256" s="3">
        <v>0</v>
      </c>
      <c r="S256" s="3" t="s">
        <v>200</v>
      </c>
      <c r="T256" s="3" t="s">
        <v>361</v>
      </c>
      <c r="U256" s="3">
        <v>0</v>
      </c>
      <c r="V256" s="3">
        <v>31</v>
      </c>
      <c r="W256" s="3">
        <v>69</v>
      </c>
    </row>
    <row r="257" spans="1:23" ht="11.25" customHeight="1" x14ac:dyDescent="0.3">
      <c r="A257" s="3" t="s">
        <v>21</v>
      </c>
      <c r="B257" s="3" t="s">
        <v>33</v>
      </c>
      <c r="C257" s="3" t="s">
        <v>40</v>
      </c>
      <c r="D257" s="3" t="s">
        <v>39</v>
      </c>
      <c r="E257" s="3" t="s">
        <v>25</v>
      </c>
      <c r="F257" s="3" t="s">
        <v>25</v>
      </c>
      <c r="G257" s="3" t="s">
        <v>25</v>
      </c>
      <c r="H257" s="3" t="s">
        <v>38</v>
      </c>
      <c r="I257" s="6">
        <v>44440</v>
      </c>
      <c r="J257" s="4">
        <v>0</v>
      </c>
      <c r="K257" s="4">
        <v>0</v>
      </c>
      <c r="L257" s="4">
        <v>0.54100000000000004</v>
      </c>
      <c r="M257" s="4">
        <v>0.54100000000000004</v>
      </c>
      <c r="N257" s="4">
        <v>0.54100000000000004</v>
      </c>
      <c r="O257" s="4">
        <v>0.54100000000000004</v>
      </c>
      <c r="P257" s="4">
        <v>0</v>
      </c>
      <c r="Q257" s="3" t="s">
        <v>26</v>
      </c>
      <c r="R257" s="3">
        <v>0</v>
      </c>
      <c r="S257" s="3" t="s">
        <v>201</v>
      </c>
      <c r="T257" s="3" t="s">
        <v>362</v>
      </c>
      <c r="U257" s="3">
        <v>0</v>
      </c>
      <c r="V257" s="3">
        <v>45</v>
      </c>
      <c r="W257" s="3">
        <v>83</v>
      </c>
    </row>
    <row r="258" spans="1:23" ht="11.25" customHeight="1" x14ac:dyDescent="0.3">
      <c r="A258" s="3" t="s">
        <v>21</v>
      </c>
      <c r="B258" s="3" t="s">
        <v>33</v>
      </c>
      <c r="C258" s="3" t="s">
        <v>40</v>
      </c>
      <c r="D258" s="3" t="s">
        <v>39</v>
      </c>
      <c r="E258" s="3" t="s">
        <v>25</v>
      </c>
      <c r="F258" s="3" t="s">
        <v>25</v>
      </c>
      <c r="G258" s="3" t="s">
        <v>25</v>
      </c>
      <c r="H258" s="3" t="s">
        <v>38</v>
      </c>
      <c r="I258" s="6">
        <v>44470</v>
      </c>
      <c r="J258" s="4">
        <v>0</v>
      </c>
      <c r="K258" s="4">
        <v>0</v>
      </c>
      <c r="L258" s="4">
        <v>0.56000000000000005</v>
      </c>
      <c r="M258" s="4">
        <v>0.56000000000000005</v>
      </c>
      <c r="N258" s="4">
        <v>0.56000000000000005</v>
      </c>
      <c r="O258" s="4">
        <v>0.56000000000000005</v>
      </c>
      <c r="P258" s="4">
        <v>0</v>
      </c>
      <c r="Q258" s="3" t="s">
        <v>26</v>
      </c>
      <c r="R258" s="3">
        <v>0</v>
      </c>
      <c r="S258" s="3" t="s">
        <v>202</v>
      </c>
      <c r="T258" s="3" t="s">
        <v>363</v>
      </c>
      <c r="U258" s="3">
        <v>0</v>
      </c>
      <c r="V258" s="3">
        <v>45</v>
      </c>
      <c r="W258" s="3">
        <v>83</v>
      </c>
    </row>
    <row r="259" spans="1:23" ht="11.25" customHeight="1" x14ac:dyDescent="0.3">
      <c r="A259" s="3" t="s">
        <v>21</v>
      </c>
      <c r="B259" s="3" t="s">
        <v>33</v>
      </c>
      <c r="C259" s="3" t="s">
        <v>40</v>
      </c>
      <c r="D259" s="3" t="s">
        <v>39</v>
      </c>
      <c r="E259" s="3" t="s">
        <v>25</v>
      </c>
      <c r="F259" s="3" t="s">
        <v>25</v>
      </c>
      <c r="G259" s="3" t="s">
        <v>25</v>
      </c>
      <c r="H259" s="3" t="s">
        <v>38</v>
      </c>
      <c r="I259" s="6">
        <v>44501</v>
      </c>
      <c r="J259" s="4">
        <v>0</v>
      </c>
      <c r="K259" s="4">
        <v>0</v>
      </c>
      <c r="L259" s="4">
        <v>0.63</v>
      </c>
      <c r="M259" s="4">
        <v>0.63</v>
      </c>
      <c r="N259" s="4">
        <v>0.63</v>
      </c>
      <c r="O259" s="4">
        <v>0.63</v>
      </c>
      <c r="P259" s="4">
        <v>0</v>
      </c>
      <c r="Q259" s="3" t="s">
        <v>26</v>
      </c>
      <c r="R259" s="3">
        <v>0</v>
      </c>
      <c r="S259" s="3" t="s">
        <v>203</v>
      </c>
      <c r="T259" s="3" t="s">
        <v>364</v>
      </c>
      <c r="U259" s="3">
        <v>0</v>
      </c>
      <c r="V259" s="3">
        <v>45</v>
      </c>
      <c r="W259" s="3">
        <v>83</v>
      </c>
    </row>
    <row r="260" spans="1:23" ht="11.25" customHeight="1" x14ac:dyDescent="0.3">
      <c r="A260" s="3" t="s">
        <v>21</v>
      </c>
      <c r="B260" s="3" t="s">
        <v>33</v>
      </c>
      <c r="C260" s="3" t="s">
        <v>40</v>
      </c>
      <c r="D260" s="3" t="s">
        <v>39</v>
      </c>
      <c r="E260" s="3" t="s">
        <v>25</v>
      </c>
      <c r="F260" s="3" t="s">
        <v>25</v>
      </c>
      <c r="G260" s="3" t="s">
        <v>25</v>
      </c>
      <c r="H260" s="3" t="s">
        <v>38</v>
      </c>
      <c r="I260" s="6">
        <v>44531</v>
      </c>
      <c r="J260" s="4">
        <v>0</v>
      </c>
      <c r="K260" s="4">
        <v>0</v>
      </c>
      <c r="L260" s="4">
        <v>0.747</v>
      </c>
      <c r="M260" s="4">
        <v>0.747</v>
      </c>
      <c r="N260" s="4">
        <v>0.747</v>
      </c>
      <c r="O260" s="4">
        <v>0.747</v>
      </c>
      <c r="P260" s="4">
        <v>0</v>
      </c>
      <c r="Q260" s="3" t="s">
        <v>26</v>
      </c>
      <c r="R260" s="3">
        <v>0</v>
      </c>
      <c r="S260" s="3" t="s">
        <v>204</v>
      </c>
      <c r="T260" s="3" t="s">
        <v>365</v>
      </c>
      <c r="U260" s="3">
        <v>0</v>
      </c>
      <c r="V260" s="3">
        <v>45</v>
      </c>
      <c r="W260" s="3">
        <v>83</v>
      </c>
    </row>
    <row r="261" spans="1:23" ht="11.25" customHeight="1" x14ac:dyDescent="0.3">
      <c r="A261" s="3" t="s">
        <v>21</v>
      </c>
      <c r="B261" s="3" t="s">
        <v>33</v>
      </c>
      <c r="C261" s="3" t="s">
        <v>40</v>
      </c>
      <c r="D261" s="3" t="s">
        <v>39</v>
      </c>
      <c r="E261" s="3" t="s">
        <v>25</v>
      </c>
      <c r="F261" s="3" t="s">
        <v>25</v>
      </c>
      <c r="G261" s="3" t="s">
        <v>25</v>
      </c>
      <c r="H261" s="3" t="s">
        <v>38</v>
      </c>
      <c r="I261" s="6">
        <v>44562</v>
      </c>
      <c r="J261" s="4">
        <v>0</v>
      </c>
      <c r="K261" s="4">
        <v>0</v>
      </c>
      <c r="L261" s="4">
        <v>0.86099999999999999</v>
      </c>
      <c r="M261" s="4">
        <v>0.86099999999999999</v>
      </c>
      <c r="N261" s="4">
        <v>0.86099999999999999</v>
      </c>
      <c r="O261" s="4">
        <v>0.86099999999999999</v>
      </c>
      <c r="P261" s="4">
        <v>0</v>
      </c>
      <c r="Q261" s="3" t="s">
        <v>26</v>
      </c>
      <c r="R261" s="3">
        <v>0</v>
      </c>
      <c r="S261" s="3" t="s">
        <v>205</v>
      </c>
      <c r="T261" s="3" t="s">
        <v>366</v>
      </c>
      <c r="U261" s="3">
        <v>0</v>
      </c>
      <c r="V261" s="3">
        <v>45</v>
      </c>
      <c r="W261" s="3">
        <v>83</v>
      </c>
    </row>
    <row r="262" spans="1:23" ht="11.25" customHeight="1" x14ac:dyDescent="0.3">
      <c r="A262" s="3" t="s">
        <v>21</v>
      </c>
      <c r="B262" s="3" t="s">
        <v>33</v>
      </c>
      <c r="C262" s="3" t="s">
        <v>40</v>
      </c>
      <c r="D262" s="3" t="s">
        <v>39</v>
      </c>
      <c r="E262" s="3" t="s">
        <v>25</v>
      </c>
      <c r="F262" s="3" t="s">
        <v>25</v>
      </c>
      <c r="G262" s="3" t="s">
        <v>25</v>
      </c>
      <c r="H262" s="3" t="s">
        <v>38</v>
      </c>
      <c r="I262" s="6">
        <v>44593</v>
      </c>
      <c r="J262" s="4">
        <v>0</v>
      </c>
      <c r="K262" s="4">
        <v>0</v>
      </c>
      <c r="L262" s="4">
        <v>1.2609999999999999</v>
      </c>
      <c r="M262" s="4">
        <v>1.2609999999999999</v>
      </c>
      <c r="N262" s="4">
        <v>1.2609999999999999</v>
      </c>
      <c r="O262" s="4">
        <v>1.2609999999999999</v>
      </c>
      <c r="P262" s="4">
        <v>0</v>
      </c>
      <c r="Q262" s="3" t="s">
        <v>26</v>
      </c>
      <c r="R262" s="3">
        <v>0</v>
      </c>
      <c r="S262" s="3" t="s">
        <v>206</v>
      </c>
      <c r="T262" s="3" t="s">
        <v>367</v>
      </c>
      <c r="U262" s="3">
        <v>0</v>
      </c>
      <c r="V262" s="3">
        <v>45</v>
      </c>
      <c r="W262" s="3">
        <v>83</v>
      </c>
    </row>
    <row r="263" spans="1:23" ht="11.25" customHeight="1" x14ac:dyDescent="0.3">
      <c r="A263" s="3" t="s">
        <v>21</v>
      </c>
      <c r="B263" s="3" t="s">
        <v>33</v>
      </c>
      <c r="C263" s="3" t="s">
        <v>40</v>
      </c>
      <c r="D263" s="3" t="s">
        <v>39</v>
      </c>
      <c r="E263" s="3" t="s">
        <v>25</v>
      </c>
      <c r="F263" s="3" t="s">
        <v>25</v>
      </c>
      <c r="G263" s="3" t="s">
        <v>25</v>
      </c>
      <c r="H263" s="3" t="s">
        <v>38</v>
      </c>
      <c r="I263" s="6">
        <v>44621</v>
      </c>
      <c r="J263" s="4">
        <v>0</v>
      </c>
      <c r="K263" s="4">
        <v>0</v>
      </c>
      <c r="L263" s="4">
        <v>0.97199999999999998</v>
      </c>
      <c r="M263" s="4">
        <v>0.97199999999999998</v>
      </c>
      <c r="N263" s="4">
        <v>0.97199999999999998</v>
      </c>
      <c r="O263" s="4">
        <v>0.97199999999999998</v>
      </c>
      <c r="P263" s="4">
        <v>0</v>
      </c>
      <c r="Q263" s="3" t="s">
        <v>26</v>
      </c>
      <c r="R263" s="3">
        <v>0</v>
      </c>
      <c r="S263" s="3" t="s">
        <v>207</v>
      </c>
      <c r="T263" s="3" t="s">
        <v>368</v>
      </c>
      <c r="U263" s="3">
        <v>0</v>
      </c>
      <c r="V263" s="3">
        <v>45</v>
      </c>
      <c r="W263" s="3">
        <v>83</v>
      </c>
    </row>
    <row r="264" spans="1:23" ht="11.25" customHeight="1" x14ac:dyDescent="0.3">
      <c r="A264" s="3" t="s">
        <v>21</v>
      </c>
      <c r="B264" s="3" t="s">
        <v>33</v>
      </c>
      <c r="C264" s="3" t="s">
        <v>40</v>
      </c>
      <c r="D264" s="3" t="s">
        <v>39</v>
      </c>
      <c r="E264" s="3" t="s">
        <v>25</v>
      </c>
      <c r="F264" s="3" t="s">
        <v>25</v>
      </c>
      <c r="G264" s="3" t="s">
        <v>25</v>
      </c>
      <c r="H264" s="3" t="s">
        <v>38</v>
      </c>
      <c r="I264" s="6">
        <v>44652</v>
      </c>
      <c r="J264" s="4">
        <v>0</v>
      </c>
      <c r="K264" s="4">
        <v>0</v>
      </c>
      <c r="L264" s="4">
        <v>0.91200000000000003</v>
      </c>
      <c r="M264" s="4">
        <v>0.91200000000000003</v>
      </c>
      <c r="N264" s="4">
        <v>0.91200000000000003</v>
      </c>
      <c r="O264" s="4">
        <v>0.91200000000000003</v>
      </c>
      <c r="P264" s="4">
        <v>0</v>
      </c>
      <c r="Q264" s="3" t="s">
        <v>26</v>
      </c>
      <c r="R264" s="3">
        <v>0</v>
      </c>
      <c r="S264" s="3" t="s">
        <v>208</v>
      </c>
      <c r="T264" s="3" t="s">
        <v>369</v>
      </c>
      <c r="U264" s="3">
        <v>0</v>
      </c>
      <c r="V264" s="3">
        <v>45</v>
      </c>
      <c r="W264" s="3">
        <v>83</v>
      </c>
    </row>
    <row r="265" spans="1:23" ht="11.25" customHeight="1" x14ac:dyDescent="0.3">
      <c r="A265" s="3" t="s">
        <v>21</v>
      </c>
      <c r="B265" s="3" t="s">
        <v>33</v>
      </c>
      <c r="C265" s="3" t="s">
        <v>40</v>
      </c>
      <c r="D265" s="3" t="s">
        <v>39</v>
      </c>
      <c r="E265" s="3" t="s">
        <v>25</v>
      </c>
      <c r="F265" s="3" t="s">
        <v>25</v>
      </c>
      <c r="G265" s="3" t="s">
        <v>25</v>
      </c>
      <c r="H265" s="3" t="s">
        <v>38</v>
      </c>
      <c r="I265" s="6">
        <v>44682</v>
      </c>
      <c r="J265" s="4">
        <v>0</v>
      </c>
      <c r="K265" s="4">
        <v>0</v>
      </c>
      <c r="L265" s="4">
        <v>0.84199999999999997</v>
      </c>
      <c r="M265" s="4">
        <v>0.84199999999999997</v>
      </c>
      <c r="N265" s="4">
        <v>0.84199999999999997</v>
      </c>
      <c r="O265" s="4">
        <v>0.84199999999999997</v>
      </c>
      <c r="P265" s="4">
        <v>0</v>
      </c>
      <c r="Q265" s="3" t="s">
        <v>26</v>
      </c>
      <c r="R265" s="3">
        <v>0</v>
      </c>
      <c r="S265" s="3" t="s">
        <v>209</v>
      </c>
      <c r="T265" s="3" t="s">
        <v>370</v>
      </c>
      <c r="U265" s="3">
        <v>0</v>
      </c>
      <c r="V265" s="3">
        <v>45</v>
      </c>
      <c r="W265" s="3">
        <v>83</v>
      </c>
    </row>
    <row r="266" spans="1:23" ht="11.25" customHeight="1" x14ac:dyDescent="0.3">
      <c r="A266" s="3" t="s">
        <v>21</v>
      </c>
      <c r="B266" s="3" t="s">
        <v>33</v>
      </c>
      <c r="C266" s="3" t="s">
        <v>40</v>
      </c>
      <c r="D266" s="3" t="s">
        <v>39</v>
      </c>
      <c r="E266" s="3" t="s">
        <v>25</v>
      </c>
      <c r="F266" s="3" t="s">
        <v>25</v>
      </c>
      <c r="G266" s="3" t="s">
        <v>25</v>
      </c>
      <c r="H266" s="3" t="s">
        <v>38</v>
      </c>
      <c r="I266" s="6">
        <v>44713</v>
      </c>
      <c r="J266" s="4">
        <v>0</v>
      </c>
      <c r="K266" s="4">
        <v>0</v>
      </c>
      <c r="L266" s="4">
        <v>0.79100000000000004</v>
      </c>
      <c r="M266" s="4">
        <v>0.79100000000000004</v>
      </c>
      <c r="N266" s="4">
        <v>0.79100000000000004</v>
      </c>
      <c r="O266" s="4">
        <v>0.79100000000000004</v>
      </c>
      <c r="P266" s="4">
        <v>0</v>
      </c>
      <c r="Q266" s="3" t="s">
        <v>26</v>
      </c>
      <c r="R266" s="3">
        <v>0</v>
      </c>
      <c r="S266" s="3" t="s">
        <v>210</v>
      </c>
      <c r="T266" s="3" t="s">
        <v>371</v>
      </c>
      <c r="U266" s="3">
        <v>0</v>
      </c>
      <c r="V266" s="3">
        <v>45</v>
      </c>
      <c r="W266" s="3">
        <v>83</v>
      </c>
    </row>
    <row r="267" spans="1:23" ht="11.25" customHeight="1" x14ac:dyDescent="0.3">
      <c r="A267" s="3" t="s">
        <v>21</v>
      </c>
      <c r="B267" s="3" t="s">
        <v>33</v>
      </c>
      <c r="C267" s="3" t="s">
        <v>40</v>
      </c>
      <c r="D267" s="3" t="s">
        <v>39</v>
      </c>
      <c r="E267" s="3" t="s">
        <v>25</v>
      </c>
      <c r="F267" s="3" t="s">
        <v>25</v>
      </c>
      <c r="G267" s="3" t="s">
        <v>25</v>
      </c>
      <c r="H267" s="3" t="s">
        <v>38</v>
      </c>
      <c r="I267" s="6">
        <v>44743</v>
      </c>
      <c r="J267" s="4">
        <v>0</v>
      </c>
      <c r="K267" s="4">
        <v>0</v>
      </c>
      <c r="L267" s="4">
        <v>0.74099999999999999</v>
      </c>
      <c r="M267" s="4">
        <v>0.74099999999999999</v>
      </c>
      <c r="N267" s="4">
        <v>0.74099999999999999</v>
      </c>
      <c r="O267" s="4">
        <v>0.74099999999999999</v>
      </c>
      <c r="P267" s="4">
        <v>0</v>
      </c>
      <c r="Q267" s="3" t="s">
        <v>26</v>
      </c>
      <c r="R267" s="3">
        <v>0</v>
      </c>
      <c r="S267" s="3" t="s">
        <v>211</v>
      </c>
      <c r="T267" s="3" t="s">
        <v>372</v>
      </c>
      <c r="U267" s="3">
        <v>0</v>
      </c>
      <c r="V267" s="3">
        <v>45</v>
      </c>
      <c r="W267" s="3">
        <v>83</v>
      </c>
    </row>
    <row r="268" spans="1:23" ht="11.25" customHeight="1" x14ac:dyDescent="0.3">
      <c r="A268" s="3" t="s">
        <v>55</v>
      </c>
      <c r="B268" s="3" t="s">
        <v>33</v>
      </c>
      <c r="C268" s="3" t="s">
        <v>40</v>
      </c>
      <c r="D268" s="3" t="s">
        <v>39</v>
      </c>
      <c r="E268" s="3" t="s">
        <v>25</v>
      </c>
      <c r="F268" s="3" t="s">
        <v>25</v>
      </c>
      <c r="G268" s="3" t="s">
        <v>25</v>
      </c>
      <c r="H268" s="3" t="s">
        <v>38</v>
      </c>
      <c r="I268" s="6">
        <v>44774</v>
      </c>
      <c r="J268" s="4">
        <v>0</v>
      </c>
      <c r="K268" s="4">
        <v>0</v>
      </c>
      <c r="L268" s="4">
        <v>0.74099999999999999</v>
      </c>
      <c r="M268" s="4">
        <v>0.74099999999999999</v>
      </c>
      <c r="N268" s="4">
        <v>0.74099999999999999</v>
      </c>
      <c r="O268" s="4">
        <v>0.74099999999999999</v>
      </c>
      <c r="P268" s="4">
        <v>0</v>
      </c>
      <c r="Q268" s="3" t="s">
        <v>26</v>
      </c>
      <c r="R268" s="3">
        <v>0</v>
      </c>
      <c r="S268" s="3" t="s">
        <v>212</v>
      </c>
      <c r="T268" s="3" t="s">
        <v>373</v>
      </c>
      <c r="U268" s="3">
        <v>0</v>
      </c>
      <c r="V268" s="3">
        <v>45</v>
      </c>
      <c r="W268" s="3">
        <v>83</v>
      </c>
    </row>
    <row r="269" spans="1:23" ht="11.25" customHeight="1" x14ac:dyDescent="0.3">
      <c r="A269" s="3" t="s">
        <v>21</v>
      </c>
      <c r="B269" s="3" t="s">
        <v>33</v>
      </c>
      <c r="C269" s="3" t="s">
        <v>40</v>
      </c>
      <c r="D269" s="3" t="s">
        <v>39</v>
      </c>
      <c r="E269" s="3" t="s">
        <v>25</v>
      </c>
      <c r="F269" s="3" t="s">
        <v>25</v>
      </c>
      <c r="G269" s="3" t="s">
        <v>25</v>
      </c>
      <c r="H269" s="3" t="s">
        <v>41</v>
      </c>
      <c r="I269" s="6">
        <v>44440</v>
      </c>
      <c r="J269" s="4">
        <v>0</v>
      </c>
      <c r="K269" s="4">
        <v>0</v>
      </c>
      <c r="L269" s="4">
        <v>3.2000000000000001E-2</v>
      </c>
      <c r="M269" s="4">
        <v>3.2000000000000001E-2</v>
      </c>
      <c r="N269" s="4">
        <v>3.2000000000000001E-2</v>
      </c>
      <c r="O269" s="4">
        <v>3.2000000000000001E-2</v>
      </c>
      <c r="P269" s="4">
        <v>0</v>
      </c>
      <c r="Q269" s="3" t="s">
        <v>26</v>
      </c>
      <c r="R269" s="3">
        <v>0</v>
      </c>
      <c r="S269" s="3" t="s">
        <v>213</v>
      </c>
      <c r="T269" s="3" t="s">
        <v>374</v>
      </c>
      <c r="U269" s="3">
        <v>0</v>
      </c>
      <c r="V269" s="3">
        <v>44</v>
      </c>
      <c r="W269" s="3">
        <v>82</v>
      </c>
    </row>
    <row r="270" spans="1:23" ht="11.25" customHeight="1" x14ac:dyDescent="0.3">
      <c r="A270" s="3" t="s">
        <v>21</v>
      </c>
      <c r="B270" s="3" t="s">
        <v>33</v>
      </c>
      <c r="C270" s="3" t="s">
        <v>40</v>
      </c>
      <c r="D270" s="3" t="s">
        <v>39</v>
      </c>
      <c r="E270" s="3" t="s">
        <v>25</v>
      </c>
      <c r="F270" s="3" t="s">
        <v>25</v>
      </c>
      <c r="G270" s="3" t="s">
        <v>25</v>
      </c>
      <c r="H270" s="3" t="s">
        <v>41</v>
      </c>
      <c r="I270" s="6">
        <v>44470</v>
      </c>
      <c r="J270" s="4">
        <v>0</v>
      </c>
      <c r="K270" s="4">
        <v>0</v>
      </c>
      <c r="L270" s="4">
        <v>3.5000000000000003E-2</v>
      </c>
      <c r="M270" s="4">
        <v>3.5000000000000003E-2</v>
      </c>
      <c r="N270" s="4">
        <v>3.5000000000000003E-2</v>
      </c>
      <c r="O270" s="4">
        <v>3.5000000000000003E-2</v>
      </c>
      <c r="P270" s="4">
        <v>0</v>
      </c>
      <c r="Q270" s="3" t="s">
        <v>26</v>
      </c>
      <c r="R270" s="3">
        <v>0</v>
      </c>
      <c r="S270" s="3" t="s">
        <v>214</v>
      </c>
      <c r="T270" s="3" t="s">
        <v>375</v>
      </c>
      <c r="U270" s="3">
        <v>0</v>
      </c>
      <c r="V270" s="3">
        <v>44</v>
      </c>
      <c r="W270" s="3">
        <v>82</v>
      </c>
    </row>
    <row r="271" spans="1:23" ht="11.25" customHeight="1" x14ac:dyDescent="0.3">
      <c r="A271" s="3" t="s">
        <v>21</v>
      </c>
      <c r="B271" s="3" t="s">
        <v>33</v>
      </c>
      <c r="C271" s="3" t="s">
        <v>40</v>
      </c>
      <c r="D271" s="3" t="s">
        <v>39</v>
      </c>
      <c r="E271" s="3" t="s">
        <v>25</v>
      </c>
      <c r="F271" s="3" t="s">
        <v>25</v>
      </c>
      <c r="G271" s="3" t="s">
        <v>25</v>
      </c>
      <c r="H271" s="3" t="s">
        <v>41</v>
      </c>
      <c r="I271" s="6">
        <v>44501</v>
      </c>
      <c r="J271" s="4">
        <v>0</v>
      </c>
      <c r="K271" s="4">
        <v>0</v>
      </c>
      <c r="L271" s="4">
        <v>3.4000000000000002E-2</v>
      </c>
      <c r="M271" s="4">
        <v>3.4000000000000002E-2</v>
      </c>
      <c r="N271" s="4">
        <v>3.4000000000000002E-2</v>
      </c>
      <c r="O271" s="4">
        <v>3.4000000000000002E-2</v>
      </c>
      <c r="P271" s="4">
        <v>0</v>
      </c>
      <c r="Q271" s="3" t="s">
        <v>26</v>
      </c>
      <c r="R271" s="3">
        <v>0</v>
      </c>
      <c r="S271" s="3" t="s">
        <v>215</v>
      </c>
      <c r="T271" s="3" t="s">
        <v>376</v>
      </c>
      <c r="U271" s="3">
        <v>0</v>
      </c>
      <c r="V271" s="3">
        <v>44</v>
      </c>
      <c r="W271" s="3">
        <v>82</v>
      </c>
    </row>
    <row r="272" spans="1:23" ht="11.25" customHeight="1" x14ac:dyDescent="0.3">
      <c r="A272" s="3" t="s">
        <v>21</v>
      </c>
      <c r="B272" s="3" t="s">
        <v>33</v>
      </c>
      <c r="C272" s="3" t="s">
        <v>40</v>
      </c>
      <c r="D272" s="3" t="s">
        <v>39</v>
      </c>
      <c r="E272" s="3" t="s">
        <v>25</v>
      </c>
      <c r="F272" s="3" t="s">
        <v>25</v>
      </c>
      <c r="G272" s="3" t="s">
        <v>25</v>
      </c>
      <c r="H272" s="3" t="s">
        <v>41</v>
      </c>
      <c r="I272" s="6">
        <v>44531</v>
      </c>
      <c r="J272" s="4">
        <v>0</v>
      </c>
      <c r="K272" s="4">
        <v>0</v>
      </c>
      <c r="L272" s="4">
        <v>3.7999999999999999E-2</v>
      </c>
      <c r="M272" s="4">
        <v>3.7999999999999999E-2</v>
      </c>
      <c r="N272" s="4">
        <v>3.7999999999999999E-2</v>
      </c>
      <c r="O272" s="4">
        <v>3.7999999999999999E-2</v>
      </c>
      <c r="P272" s="4">
        <v>0</v>
      </c>
      <c r="Q272" s="3" t="s">
        <v>26</v>
      </c>
      <c r="R272" s="3">
        <v>0</v>
      </c>
      <c r="S272" s="3" t="s">
        <v>216</v>
      </c>
      <c r="T272" s="3" t="s">
        <v>377</v>
      </c>
      <c r="U272" s="3">
        <v>0</v>
      </c>
      <c r="V272" s="3">
        <v>44</v>
      </c>
      <c r="W272" s="3">
        <v>82</v>
      </c>
    </row>
    <row r="273" spans="1:23" ht="11.25" customHeight="1" x14ac:dyDescent="0.3">
      <c r="A273" s="3" t="s">
        <v>21</v>
      </c>
      <c r="B273" s="3" t="s">
        <v>33</v>
      </c>
      <c r="C273" s="3" t="s">
        <v>40</v>
      </c>
      <c r="D273" s="3" t="s">
        <v>39</v>
      </c>
      <c r="E273" s="3" t="s">
        <v>25</v>
      </c>
      <c r="F273" s="3" t="s">
        <v>25</v>
      </c>
      <c r="G273" s="3" t="s">
        <v>25</v>
      </c>
      <c r="H273" s="3" t="s">
        <v>41</v>
      </c>
      <c r="I273" s="6">
        <v>44562</v>
      </c>
      <c r="J273" s="4">
        <v>0</v>
      </c>
      <c r="K273" s="4">
        <v>0</v>
      </c>
      <c r="L273" s="4">
        <v>0.05</v>
      </c>
      <c r="M273" s="4">
        <v>0.05</v>
      </c>
      <c r="N273" s="4">
        <v>0.05</v>
      </c>
      <c r="O273" s="4">
        <v>0.05</v>
      </c>
      <c r="P273" s="4">
        <v>0</v>
      </c>
      <c r="Q273" s="3" t="s">
        <v>26</v>
      </c>
      <c r="R273" s="3">
        <v>0</v>
      </c>
      <c r="S273" s="3" t="s">
        <v>217</v>
      </c>
      <c r="T273" s="3" t="s">
        <v>378</v>
      </c>
      <c r="U273" s="3">
        <v>0</v>
      </c>
      <c r="V273" s="3">
        <v>44</v>
      </c>
      <c r="W273" s="3">
        <v>82</v>
      </c>
    </row>
    <row r="274" spans="1:23" ht="11.25" customHeight="1" x14ac:dyDescent="0.3">
      <c r="A274" s="3" t="s">
        <v>21</v>
      </c>
      <c r="B274" s="3" t="s">
        <v>33</v>
      </c>
      <c r="C274" s="3" t="s">
        <v>40</v>
      </c>
      <c r="D274" s="3" t="s">
        <v>39</v>
      </c>
      <c r="E274" s="3" t="s">
        <v>25</v>
      </c>
      <c r="F274" s="3" t="s">
        <v>25</v>
      </c>
      <c r="G274" s="3" t="s">
        <v>25</v>
      </c>
      <c r="H274" s="3" t="s">
        <v>41</v>
      </c>
      <c r="I274" s="6">
        <v>44593</v>
      </c>
      <c r="J274" s="4">
        <v>0</v>
      </c>
      <c r="K274" s="4">
        <v>0</v>
      </c>
      <c r="L274" s="4">
        <v>6.9000000000000006E-2</v>
      </c>
      <c r="M274" s="4">
        <v>6.9000000000000006E-2</v>
      </c>
      <c r="N274" s="4">
        <v>6.9000000000000006E-2</v>
      </c>
      <c r="O274" s="4">
        <v>6.9000000000000006E-2</v>
      </c>
      <c r="P274" s="4">
        <v>0</v>
      </c>
      <c r="Q274" s="3" t="s">
        <v>26</v>
      </c>
      <c r="R274" s="3">
        <v>0</v>
      </c>
      <c r="S274" s="3" t="s">
        <v>218</v>
      </c>
      <c r="T274" s="3" t="s">
        <v>379</v>
      </c>
      <c r="U274" s="3">
        <v>0</v>
      </c>
      <c r="V274" s="3">
        <v>44</v>
      </c>
      <c r="W274" s="3">
        <v>82</v>
      </c>
    </row>
    <row r="275" spans="1:23" ht="11.25" customHeight="1" x14ac:dyDescent="0.3">
      <c r="A275" s="3" t="s">
        <v>21</v>
      </c>
      <c r="B275" s="3" t="s">
        <v>33</v>
      </c>
      <c r="C275" s="3" t="s">
        <v>40</v>
      </c>
      <c r="D275" s="3" t="s">
        <v>39</v>
      </c>
      <c r="E275" s="3" t="s">
        <v>25</v>
      </c>
      <c r="F275" s="3" t="s">
        <v>25</v>
      </c>
      <c r="G275" s="3" t="s">
        <v>25</v>
      </c>
      <c r="H275" s="3" t="s">
        <v>41</v>
      </c>
      <c r="I275" s="6">
        <v>44621</v>
      </c>
      <c r="J275" s="4">
        <v>0</v>
      </c>
      <c r="K275" s="4">
        <v>0</v>
      </c>
      <c r="L275" s="4">
        <v>5.1999999999999998E-2</v>
      </c>
      <c r="M275" s="4">
        <v>5.1999999999999998E-2</v>
      </c>
      <c r="N275" s="4">
        <v>5.1999999999999998E-2</v>
      </c>
      <c r="O275" s="4">
        <v>5.1999999999999998E-2</v>
      </c>
      <c r="P275" s="4">
        <v>0</v>
      </c>
      <c r="Q275" s="3" t="s">
        <v>26</v>
      </c>
      <c r="R275" s="3">
        <v>0</v>
      </c>
      <c r="S275" s="3" t="s">
        <v>219</v>
      </c>
      <c r="T275" s="3" t="s">
        <v>380</v>
      </c>
      <c r="U275" s="3">
        <v>0</v>
      </c>
      <c r="V275" s="3">
        <v>44</v>
      </c>
      <c r="W275" s="3">
        <v>82</v>
      </c>
    </row>
    <row r="276" spans="1:23" ht="11.25" customHeight="1" x14ac:dyDescent="0.3">
      <c r="A276" s="3" t="s">
        <v>21</v>
      </c>
      <c r="B276" s="3" t="s">
        <v>33</v>
      </c>
      <c r="C276" s="3" t="s">
        <v>40</v>
      </c>
      <c r="D276" s="3" t="s">
        <v>39</v>
      </c>
      <c r="E276" s="3" t="s">
        <v>25</v>
      </c>
      <c r="F276" s="3" t="s">
        <v>25</v>
      </c>
      <c r="G276" s="3" t="s">
        <v>25</v>
      </c>
      <c r="H276" s="3" t="s">
        <v>41</v>
      </c>
      <c r="I276" s="6">
        <v>44652</v>
      </c>
      <c r="J276" s="4">
        <v>0</v>
      </c>
      <c r="K276" s="4">
        <v>0</v>
      </c>
      <c r="L276" s="4">
        <v>5.7000000000000002E-2</v>
      </c>
      <c r="M276" s="4">
        <v>5.7000000000000002E-2</v>
      </c>
      <c r="N276" s="4">
        <v>5.7000000000000002E-2</v>
      </c>
      <c r="O276" s="4">
        <v>5.7000000000000002E-2</v>
      </c>
      <c r="P276" s="4">
        <v>0</v>
      </c>
      <c r="Q276" s="3" t="s">
        <v>26</v>
      </c>
      <c r="R276" s="3">
        <v>0</v>
      </c>
      <c r="S276" s="3" t="s">
        <v>220</v>
      </c>
      <c r="T276" s="3" t="s">
        <v>381</v>
      </c>
      <c r="U276" s="3">
        <v>0</v>
      </c>
      <c r="V276" s="3">
        <v>44</v>
      </c>
      <c r="W276" s="3">
        <v>82</v>
      </c>
    </row>
    <row r="277" spans="1:23" ht="11.25" customHeight="1" x14ac:dyDescent="0.3">
      <c r="A277" s="3" t="s">
        <v>21</v>
      </c>
      <c r="B277" s="3" t="s">
        <v>33</v>
      </c>
      <c r="C277" s="3" t="s">
        <v>40</v>
      </c>
      <c r="D277" s="3" t="s">
        <v>39</v>
      </c>
      <c r="E277" s="3" t="s">
        <v>25</v>
      </c>
      <c r="F277" s="3" t="s">
        <v>25</v>
      </c>
      <c r="G277" s="3" t="s">
        <v>25</v>
      </c>
      <c r="H277" s="3" t="s">
        <v>41</v>
      </c>
      <c r="I277" s="6">
        <v>44682</v>
      </c>
      <c r="J277" s="4">
        <v>0</v>
      </c>
      <c r="K277" s="4">
        <v>0</v>
      </c>
      <c r="L277" s="4">
        <v>5.1999999999999998E-2</v>
      </c>
      <c r="M277" s="4">
        <v>5.1999999999999998E-2</v>
      </c>
      <c r="N277" s="4">
        <v>5.1999999999999998E-2</v>
      </c>
      <c r="O277" s="4">
        <v>5.1999999999999998E-2</v>
      </c>
      <c r="P277" s="4">
        <v>0</v>
      </c>
      <c r="Q277" s="3" t="s">
        <v>26</v>
      </c>
      <c r="R277" s="3">
        <v>0</v>
      </c>
      <c r="S277" s="3" t="s">
        <v>221</v>
      </c>
      <c r="T277" s="3" t="s">
        <v>382</v>
      </c>
      <c r="U277" s="3">
        <v>0</v>
      </c>
      <c r="V277" s="3">
        <v>44</v>
      </c>
      <c r="W277" s="3">
        <v>82</v>
      </c>
    </row>
    <row r="278" spans="1:23" ht="11.25" customHeight="1" x14ac:dyDescent="0.3">
      <c r="A278" s="3" t="s">
        <v>21</v>
      </c>
      <c r="B278" s="3" t="s">
        <v>33</v>
      </c>
      <c r="C278" s="3" t="s">
        <v>40</v>
      </c>
      <c r="D278" s="3" t="s">
        <v>39</v>
      </c>
      <c r="E278" s="3" t="s">
        <v>25</v>
      </c>
      <c r="F278" s="3" t="s">
        <v>25</v>
      </c>
      <c r="G278" s="3" t="s">
        <v>25</v>
      </c>
      <c r="H278" s="3" t="s">
        <v>41</v>
      </c>
      <c r="I278" s="6">
        <v>44713</v>
      </c>
      <c r="J278" s="4">
        <v>0</v>
      </c>
      <c r="K278" s="4">
        <v>0</v>
      </c>
      <c r="L278" s="4">
        <v>5.1999999999999998E-2</v>
      </c>
      <c r="M278" s="4">
        <v>5.1999999999999998E-2</v>
      </c>
      <c r="N278" s="4">
        <v>5.1999999999999998E-2</v>
      </c>
      <c r="O278" s="4">
        <v>5.1999999999999998E-2</v>
      </c>
      <c r="P278" s="4">
        <v>0</v>
      </c>
      <c r="Q278" s="3" t="s">
        <v>26</v>
      </c>
      <c r="R278" s="3">
        <v>0</v>
      </c>
      <c r="S278" s="3" t="s">
        <v>222</v>
      </c>
      <c r="T278" s="3" t="s">
        <v>383</v>
      </c>
      <c r="U278" s="3">
        <v>0</v>
      </c>
      <c r="V278" s="3">
        <v>44</v>
      </c>
      <c r="W278" s="3">
        <v>82</v>
      </c>
    </row>
    <row r="279" spans="1:23" ht="11.25" customHeight="1" x14ac:dyDescent="0.3">
      <c r="A279" s="3" t="s">
        <v>21</v>
      </c>
      <c r="B279" s="3" t="s">
        <v>33</v>
      </c>
      <c r="C279" s="3" t="s">
        <v>40</v>
      </c>
      <c r="D279" s="3" t="s">
        <v>39</v>
      </c>
      <c r="E279" s="3" t="s">
        <v>25</v>
      </c>
      <c r="F279" s="3" t="s">
        <v>25</v>
      </c>
      <c r="G279" s="3" t="s">
        <v>25</v>
      </c>
      <c r="H279" s="3" t="s">
        <v>41</v>
      </c>
      <c r="I279" s="6">
        <v>44743</v>
      </c>
      <c r="J279" s="4">
        <v>0</v>
      </c>
      <c r="K279" s="4">
        <v>0</v>
      </c>
      <c r="L279" s="4">
        <v>5.1999999999999998E-2</v>
      </c>
      <c r="M279" s="4">
        <v>5.1999999999999998E-2</v>
      </c>
      <c r="N279" s="4">
        <v>5.1999999999999998E-2</v>
      </c>
      <c r="O279" s="4">
        <v>5.1999999999999998E-2</v>
      </c>
      <c r="P279" s="4">
        <v>0</v>
      </c>
      <c r="Q279" s="3" t="s">
        <v>26</v>
      </c>
      <c r="R279" s="3">
        <v>0</v>
      </c>
      <c r="S279" s="3" t="s">
        <v>223</v>
      </c>
      <c r="T279" s="3" t="s">
        <v>384</v>
      </c>
      <c r="U279" s="3">
        <v>0</v>
      </c>
      <c r="V279" s="3">
        <v>44</v>
      </c>
      <c r="W279" s="3">
        <v>82</v>
      </c>
    </row>
    <row r="280" spans="1:23" ht="11.25" customHeight="1" x14ac:dyDescent="0.3">
      <c r="A280" s="3" t="s">
        <v>55</v>
      </c>
      <c r="B280" s="3" t="s">
        <v>33</v>
      </c>
      <c r="C280" s="3" t="s">
        <v>40</v>
      </c>
      <c r="D280" s="3" t="s">
        <v>39</v>
      </c>
      <c r="E280" s="3" t="s">
        <v>25</v>
      </c>
      <c r="F280" s="3" t="s">
        <v>25</v>
      </c>
      <c r="G280" s="3" t="s">
        <v>25</v>
      </c>
      <c r="H280" s="3" t="s">
        <v>41</v>
      </c>
      <c r="I280" s="6">
        <v>44774</v>
      </c>
      <c r="J280" s="4">
        <v>0</v>
      </c>
      <c r="K280" s="4">
        <v>0</v>
      </c>
      <c r="L280" s="4">
        <v>5.1999999999999998E-2</v>
      </c>
      <c r="M280" s="4">
        <v>5.1999999999999998E-2</v>
      </c>
      <c r="N280" s="4">
        <v>5.1999999999999998E-2</v>
      </c>
      <c r="O280" s="4">
        <v>5.1999999999999998E-2</v>
      </c>
      <c r="P280" s="4">
        <v>0</v>
      </c>
      <c r="Q280" s="3" t="s">
        <v>26</v>
      </c>
      <c r="R280" s="3">
        <v>0</v>
      </c>
      <c r="S280" s="3" t="s">
        <v>224</v>
      </c>
      <c r="T280" s="3" t="s">
        <v>385</v>
      </c>
      <c r="U280" s="3">
        <v>0</v>
      </c>
      <c r="V280" s="3">
        <v>44</v>
      </c>
      <c r="W280" s="3">
        <v>82</v>
      </c>
    </row>
    <row r="281" spans="1:23" ht="11.25" customHeight="1" x14ac:dyDescent="0.3">
      <c r="A281" s="3" t="s">
        <v>21</v>
      </c>
      <c r="B281" s="3" t="s">
        <v>33</v>
      </c>
      <c r="C281" s="3" t="s">
        <v>40</v>
      </c>
      <c r="D281" s="3" t="s">
        <v>39</v>
      </c>
      <c r="E281" s="3" t="s">
        <v>25</v>
      </c>
      <c r="F281" s="3" t="s">
        <v>25</v>
      </c>
      <c r="G281" s="3" t="s">
        <v>25</v>
      </c>
      <c r="H281" s="3" t="s">
        <v>37</v>
      </c>
      <c r="I281" s="6">
        <v>44440</v>
      </c>
      <c r="J281" s="4">
        <v>0</v>
      </c>
      <c r="K281" s="4">
        <v>0</v>
      </c>
      <c r="L281" s="4">
        <v>0.05</v>
      </c>
      <c r="M281" s="4">
        <v>0.05</v>
      </c>
      <c r="N281" s="4">
        <v>0.05</v>
      </c>
      <c r="O281" s="4">
        <v>0.05</v>
      </c>
      <c r="P281" s="4">
        <v>0</v>
      </c>
      <c r="Q281" s="3" t="s">
        <v>26</v>
      </c>
      <c r="R281" s="3">
        <v>0</v>
      </c>
      <c r="S281" s="3" t="s">
        <v>225</v>
      </c>
      <c r="T281" s="3" t="s">
        <v>386</v>
      </c>
      <c r="U281" s="3">
        <v>0</v>
      </c>
      <c r="V281" s="3">
        <v>43</v>
      </c>
      <c r="W281" s="3">
        <v>81</v>
      </c>
    </row>
    <row r="282" spans="1:23" ht="11.25" customHeight="1" x14ac:dyDescent="0.3">
      <c r="A282" s="3" t="s">
        <v>21</v>
      </c>
      <c r="B282" s="3" t="s">
        <v>33</v>
      </c>
      <c r="C282" s="3" t="s">
        <v>40</v>
      </c>
      <c r="D282" s="3" t="s">
        <v>39</v>
      </c>
      <c r="E282" s="3" t="s">
        <v>25</v>
      </c>
      <c r="F282" s="3" t="s">
        <v>25</v>
      </c>
      <c r="G282" s="3" t="s">
        <v>25</v>
      </c>
      <c r="H282" s="3" t="s">
        <v>37</v>
      </c>
      <c r="I282" s="6">
        <v>44470</v>
      </c>
      <c r="J282" s="4">
        <v>0</v>
      </c>
      <c r="K282" s="4">
        <v>0</v>
      </c>
      <c r="L282" s="4">
        <v>5.1999999999999998E-2</v>
      </c>
      <c r="M282" s="4">
        <v>5.1999999999999998E-2</v>
      </c>
      <c r="N282" s="4">
        <v>5.1999999999999998E-2</v>
      </c>
      <c r="O282" s="4">
        <v>5.1999999999999998E-2</v>
      </c>
      <c r="P282" s="4">
        <v>0</v>
      </c>
      <c r="Q282" s="3" t="s">
        <v>26</v>
      </c>
      <c r="R282" s="3">
        <v>0</v>
      </c>
      <c r="S282" s="3" t="s">
        <v>226</v>
      </c>
      <c r="T282" s="3" t="s">
        <v>387</v>
      </c>
      <c r="U282" s="3">
        <v>0</v>
      </c>
      <c r="V282" s="3">
        <v>43</v>
      </c>
      <c r="W282" s="3">
        <v>81</v>
      </c>
    </row>
    <row r="283" spans="1:23" ht="11.25" customHeight="1" x14ac:dyDescent="0.3">
      <c r="A283" s="3" t="s">
        <v>21</v>
      </c>
      <c r="B283" s="3" t="s">
        <v>33</v>
      </c>
      <c r="C283" s="3" t="s">
        <v>40</v>
      </c>
      <c r="D283" s="3" t="s">
        <v>39</v>
      </c>
      <c r="E283" s="3" t="s">
        <v>25</v>
      </c>
      <c r="F283" s="3" t="s">
        <v>25</v>
      </c>
      <c r="G283" s="3" t="s">
        <v>25</v>
      </c>
      <c r="H283" s="3" t="s">
        <v>37</v>
      </c>
      <c r="I283" s="6">
        <v>44501</v>
      </c>
      <c r="J283" s="4">
        <v>0</v>
      </c>
      <c r="K283" s="4">
        <v>0</v>
      </c>
      <c r="L283" s="4">
        <v>5.1999999999999998E-2</v>
      </c>
      <c r="M283" s="4">
        <v>5.1999999999999998E-2</v>
      </c>
      <c r="N283" s="4">
        <v>5.1999999999999998E-2</v>
      </c>
      <c r="O283" s="4">
        <v>5.1999999999999998E-2</v>
      </c>
      <c r="P283" s="4">
        <v>0</v>
      </c>
      <c r="Q283" s="3" t="s">
        <v>26</v>
      </c>
      <c r="R283" s="3">
        <v>0</v>
      </c>
      <c r="S283" s="3" t="s">
        <v>227</v>
      </c>
      <c r="T283" s="3" t="s">
        <v>388</v>
      </c>
      <c r="U283" s="3">
        <v>0</v>
      </c>
      <c r="V283" s="3">
        <v>43</v>
      </c>
      <c r="W283" s="3">
        <v>81</v>
      </c>
    </row>
    <row r="284" spans="1:23" ht="11.25" customHeight="1" x14ac:dyDescent="0.3">
      <c r="A284" s="3" t="s">
        <v>21</v>
      </c>
      <c r="B284" s="3" t="s">
        <v>33</v>
      </c>
      <c r="C284" s="3" t="s">
        <v>40</v>
      </c>
      <c r="D284" s="3" t="s">
        <v>39</v>
      </c>
      <c r="E284" s="3" t="s">
        <v>25</v>
      </c>
      <c r="F284" s="3" t="s">
        <v>25</v>
      </c>
      <c r="G284" s="3" t="s">
        <v>25</v>
      </c>
      <c r="H284" s="3" t="s">
        <v>37</v>
      </c>
      <c r="I284" s="6">
        <v>44531</v>
      </c>
      <c r="J284" s="4">
        <v>0</v>
      </c>
      <c r="K284" s="4">
        <v>0</v>
      </c>
      <c r="L284" s="4">
        <v>5.7000000000000002E-2</v>
      </c>
      <c r="M284" s="4">
        <v>5.7000000000000002E-2</v>
      </c>
      <c r="N284" s="4">
        <v>5.7000000000000002E-2</v>
      </c>
      <c r="O284" s="4">
        <v>5.7000000000000002E-2</v>
      </c>
      <c r="P284" s="4">
        <v>0</v>
      </c>
      <c r="Q284" s="3" t="s">
        <v>26</v>
      </c>
      <c r="R284" s="3">
        <v>0</v>
      </c>
      <c r="S284" s="3" t="s">
        <v>228</v>
      </c>
      <c r="T284" s="3" t="s">
        <v>389</v>
      </c>
      <c r="U284" s="3">
        <v>0</v>
      </c>
      <c r="V284" s="3">
        <v>43</v>
      </c>
      <c r="W284" s="3">
        <v>81</v>
      </c>
    </row>
    <row r="285" spans="1:23" ht="11.25" customHeight="1" x14ac:dyDescent="0.3">
      <c r="A285" s="3" t="s">
        <v>21</v>
      </c>
      <c r="B285" s="3" t="s">
        <v>33</v>
      </c>
      <c r="C285" s="3" t="s">
        <v>40</v>
      </c>
      <c r="D285" s="3" t="s">
        <v>39</v>
      </c>
      <c r="E285" s="3" t="s">
        <v>25</v>
      </c>
      <c r="F285" s="3" t="s">
        <v>25</v>
      </c>
      <c r="G285" s="3" t="s">
        <v>25</v>
      </c>
      <c r="H285" s="3" t="s">
        <v>37</v>
      </c>
      <c r="I285" s="6">
        <v>44562</v>
      </c>
      <c r="J285" s="4">
        <v>0</v>
      </c>
      <c r="K285" s="4">
        <v>0</v>
      </c>
      <c r="L285" s="4">
        <v>7.4999999999999997E-2</v>
      </c>
      <c r="M285" s="4">
        <v>7.4999999999999997E-2</v>
      </c>
      <c r="N285" s="4">
        <v>7.4999999999999997E-2</v>
      </c>
      <c r="O285" s="4">
        <v>7.4999999999999997E-2</v>
      </c>
      <c r="P285" s="4">
        <v>0</v>
      </c>
      <c r="Q285" s="3" t="s">
        <v>26</v>
      </c>
      <c r="R285" s="3">
        <v>0</v>
      </c>
      <c r="S285" s="3" t="s">
        <v>229</v>
      </c>
      <c r="T285" s="3" t="s">
        <v>390</v>
      </c>
      <c r="U285" s="3">
        <v>0</v>
      </c>
      <c r="V285" s="3">
        <v>43</v>
      </c>
      <c r="W285" s="3">
        <v>81</v>
      </c>
    </row>
    <row r="286" spans="1:23" ht="11.25" customHeight="1" x14ac:dyDescent="0.3">
      <c r="A286" s="3" t="s">
        <v>21</v>
      </c>
      <c r="B286" s="3" t="s">
        <v>33</v>
      </c>
      <c r="C286" s="3" t="s">
        <v>40</v>
      </c>
      <c r="D286" s="3" t="s">
        <v>39</v>
      </c>
      <c r="E286" s="3" t="s">
        <v>25</v>
      </c>
      <c r="F286" s="3" t="s">
        <v>25</v>
      </c>
      <c r="G286" s="3" t="s">
        <v>25</v>
      </c>
      <c r="H286" s="3" t="s">
        <v>37</v>
      </c>
      <c r="I286" s="6">
        <v>44593</v>
      </c>
      <c r="J286" s="4">
        <v>0</v>
      </c>
      <c r="K286" s="4">
        <v>0</v>
      </c>
      <c r="L286" s="4">
        <v>0.106</v>
      </c>
      <c r="M286" s="4">
        <v>0.106</v>
      </c>
      <c r="N286" s="4">
        <v>0.106</v>
      </c>
      <c r="O286" s="4">
        <v>0.106</v>
      </c>
      <c r="P286" s="4">
        <v>0</v>
      </c>
      <c r="Q286" s="3" t="s">
        <v>26</v>
      </c>
      <c r="R286" s="3">
        <v>0</v>
      </c>
      <c r="S286" s="3" t="s">
        <v>230</v>
      </c>
      <c r="T286" s="3" t="s">
        <v>391</v>
      </c>
      <c r="U286" s="3">
        <v>0</v>
      </c>
      <c r="V286" s="3">
        <v>43</v>
      </c>
      <c r="W286" s="3">
        <v>81</v>
      </c>
    </row>
    <row r="287" spans="1:23" ht="11.25" customHeight="1" x14ac:dyDescent="0.3">
      <c r="A287" s="3" t="s">
        <v>21</v>
      </c>
      <c r="B287" s="3" t="s">
        <v>33</v>
      </c>
      <c r="C287" s="3" t="s">
        <v>40</v>
      </c>
      <c r="D287" s="3" t="s">
        <v>39</v>
      </c>
      <c r="E287" s="3" t="s">
        <v>25</v>
      </c>
      <c r="F287" s="3" t="s">
        <v>25</v>
      </c>
      <c r="G287" s="3" t="s">
        <v>25</v>
      </c>
      <c r="H287" s="3" t="s">
        <v>37</v>
      </c>
      <c r="I287" s="6">
        <v>44621</v>
      </c>
      <c r="J287" s="4">
        <v>0</v>
      </c>
      <c r="K287" s="4">
        <v>0</v>
      </c>
      <c r="L287" s="4">
        <v>7.4999999999999997E-2</v>
      </c>
      <c r="M287" s="4">
        <v>7.4999999999999997E-2</v>
      </c>
      <c r="N287" s="4">
        <v>7.4999999999999997E-2</v>
      </c>
      <c r="O287" s="4">
        <v>7.4999999999999997E-2</v>
      </c>
      <c r="P287" s="4">
        <v>0</v>
      </c>
      <c r="Q287" s="3" t="s">
        <v>26</v>
      </c>
      <c r="R287" s="3">
        <v>0</v>
      </c>
      <c r="S287" s="3" t="s">
        <v>231</v>
      </c>
      <c r="T287" s="3" t="s">
        <v>392</v>
      </c>
      <c r="U287" s="3">
        <v>0</v>
      </c>
      <c r="V287" s="3">
        <v>43</v>
      </c>
      <c r="W287" s="3">
        <v>81</v>
      </c>
    </row>
    <row r="288" spans="1:23" ht="11.25" customHeight="1" x14ac:dyDescent="0.3">
      <c r="A288" s="3" t="s">
        <v>21</v>
      </c>
      <c r="B288" s="3" t="s">
        <v>33</v>
      </c>
      <c r="C288" s="3" t="s">
        <v>40</v>
      </c>
      <c r="D288" s="3" t="s">
        <v>39</v>
      </c>
      <c r="E288" s="3" t="s">
        <v>25</v>
      </c>
      <c r="F288" s="3" t="s">
        <v>25</v>
      </c>
      <c r="G288" s="3" t="s">
        <v>25</v>
      </c>
      <c r="H288" s="3" t="s">
        <v>37</v>
      </c>
      <c r="I288" s="6">
        <v>44652</v>
      </c>
      <c r="J288" s="4">
        <v>0</v>
      </c>
      <c r="K288" s="4">
        <v>0</v>
      </c>
      <c r="L288" s="4">
        <v>8.6999999999999994E-2</v>
      </c>
      <c r="M288" s="4">
        <v>8.6999999999999994E-2</v>
      </c>
      <c r="N288" s="4">
        <v>8.6999999999999994E-2</v>
      </c>
      <c r="O288" s="4">
        <v>8.6999999999999994E-2</v>
      </c>
      <c r="P288" s="4">
        <v>0</v>
      </c>
      <c r="Q288" s="3" t="s">
        <v>26</v>
      </c>
      <c r="R288" s="3">
        <v>0</v>
      </c>
      <c r="S288" s="3" t="s">
        <v>232</v>
      </c>
      <c r="T288" s="3" t="s">
        <v>393</v>
      </c>
      <c r="U288" s="3">
        <v>0</v>
      </c>
      <c r="V288" s="3">
        <v>43</v>
      </c>
      <c r="W288" s="3">
        <v>81</v>
      </c>
    </row>
    <row r="289" spans="1:23" ht="11.25" customHeight="1" x14ac:dyDescent="0.3">
      <c r="A289" s="3" t="s">
        <v>21</v>
      </c>
      <c r="B289" s="3" t="s">
        <v>33</v>
      </c>
      <c r="C289" s="3" t="s">
        <v>40</v>
      </c>
      <c r="D289" s="3" t="s">
        <v>39</v>
      </c>
      <c r="E289" s="3" t="s">
        <v>25</v>
      </c>
      <c r="F289" s="3" t="s">
        <v>25</v>
      </c>
      <c r="G289" s="3" t="s">
        <v>25</v>
      </c>
      <c r="H289" s="3" t="s">
        <v>37</v>
      </c>
      <c r="I289" s="6">
        <v>44682</v>
      </c>
      <c r="J289" s="4">
        <v>0</v>
      </c>
      <c r="K289" s="4">
        <v>0</v>
      </c>
      <c r="L289" s="4">
        <v>7.8E-2</v>
      </c>
      <c r="M289" s="4">
        <v>7.8E-2</v>
      </c>
      <c r="N289" s="4">
        <v>7.8E-2</v>
      </c>
      <c r="O289" s="4">
        <v>7.8E-2</v>
      </c>
      <c r="P289" s="4">
        <v>0</v>
      </c>
      <c r="Q289" s="3" t="s">
        <v>26</v>
      </c>
      <c r="R289" s="3">
        <v>0</v>
      </c>
      <c r="S289" s="3" t="s">
        <v>233</v>
      </c>
      <c r="T289" s="3" t="s">
        <v>394</v>
      </c>
      <c r="U289" s="3">
        <v>0</v>
      </c>
      <c r="V289" s="3">
        <v>43</v>
      </c>
      <c r="W289" s="3">
        <v>81</v>
      </c>
    </row>
    <row r="290" spans="1:23" ht="11.25" customHeight="1" x14ac:dyDescent="0.3">
      <c r="A290" s="3" t="s">
        <v>21</v>
      </c>
      <c r="B290" s="3" t="s">
        <v>33</v>
      </c>
      <c r="C290" s="3" t="s">
        <v>40</v>
      </c>
      <c r="D290" s="3" t="s">
        <v>39</v>
      </c>
      <c r="E290" s="3" t="s">
        <v>25</v>
      </c>
      <c r="F290" s="3" t="s">
        <v>25</v>
      </c>
      <c r="G290" s="3" t="s">
        <v>25</v>
      </c>
      <c r="H290" s="3" t="s">
        <v>37</v>
      </c>
      <c r="I290" s="6">
        <v>44713</v>
      </c>
      <c r="J290" s="4">
        <v>0</v>
      </c>
      <c r="K290" s="4">
        <v>0</v>
      </c>
      <c r="L290" s="4">
        <v>0.08</v>
      </c>
      <c r="M290" s="4">
        <v>0.08</v>
      </c>
      <c r="N290" s="4">
        <v>0.08</v>
      </c>
      <c r="O290" s="4">
        <v>0.08</v>
      </c>
      <c r="P290" s="4">
        <v>0</v>
      </c>
      <c r="Q290" s="3" t="s">
        <v>26</v>
      </c>
      <c r="R290" s="3">
        <v>0</v>
      </c>
      <c r="S290" s="3" t="s">
        <v>234</v>
      </c>
      <c r="T290" s="3" t="s">
        <v>395</v>
      </c>
      <c r="U290" s="3">
        <v>0</v>
      </c>
      <c r="V290" s="3">
        <v>43</v>
      </c>
      <c r="W290" s="3">
        <v>81</v>
      </c>
    </row>
    <row r="291" spans="1:23" ht="11.25" customHeight="1" x14ac:dyDescent="0.3">
      <c r="A291" s="3" t="s">
        <v>21</v>
      </c>
      <c r="B291" s="3" t="s">
        <v>33</v>
      </c>
      <c r="C291" s="3" t="s">
        <v>40</v>
      </c>
      <c r="D291" s="3" t="s">
        <v>39</v>
      </c>
      <c r="E291" s="3" t="s">
        <v>25</v>
      </c>
      <c r="F291" s="3" t="s">
        <v>25</v>
      </c>
      <c r="G291" s="3" t="s">
        <v>25</v>
      </c>
      <c r="H291" s="3" t="s">
        <v>37</v>
      </c>
      <c r="I291" s="6">
        <v>44743</v>
      </c>
      <c r="J291" s="4">
        <v>0</v>
      </c>
      <c r="K291" s="4">
        <v>0</v>
      </c>
      <c r="L291" s="4">
        <v>7.8E-2</v>
      </c>
      <c r="M291" s="4">
        <v>7.8E-2</v>
      </c>
      <c r="N291" s="4">
        <v>7.8E-2</v>
      </c>
      <c r="O291" s="4">
        <v>7.8E-2</v>
      </c>
      <c r="P291" s="4">
        <v>0</v>
      </c>
      <c r="Q291" s="3" t="s">
        <v>26</v>
      </c>
      <c r="R291" s="3">
        <v>0</v>
      </c>
      <c r="S291" s="3" t="s">
        <v>235</v>
      </c>
      <c r="T291" s="3" t="s">
        <v>396</v>
      </c>
      <c r="U291" s="3">
        <v>0</v>
      </c>
      <c r="V291" s="3">
        <v>43</v>
      </c>
      <c r="W291" s="3">
        <v>81</v>
      </c>
    </row>
    <row r="292" spans="1:23" ht="11.25" customHeight="1" x14ac:dyDescent="0.3">
      <c r="A292" s="3" t="s">
        <v>55</v>
      </c>
      <c r="B292" s="3" t="s">
        <v>33</v>
      </c>
      <c r="C292" s="3" t="s">
        <v>40</v>
      </c>
      <c r="D292" s="3" t="s">
        <v>39</v>
      </c>
      <c r="E292" s="3" t="s">
        <v>25</v>
      </c>
      <c r="F292" s="3" t="s">
        <v>25</v>
      </c>
      <c r="G292" s="3" t="s">
        <v>25</v>
      </c>
      <c r="H292" s="3" t="s">
        <v>37</v>
      </c>
      <c r="I292" s="6">
        <v>44774</v>
      </c>
      <c r="J292" s="4">
        <v>0</v>
      </c>
      <c r="K292" s="4">
        <v>0</v>
      </c>
      <c r="L292" s="4">
        <v>7.8E-2</v>
      </c>
      <c r="M292" s="4">
        <v>7.8E-2</v>
      </c>
      <c r="N292" s="4">
        <v>7.8E-2</v>
      </c>
      <c r="O292" s="4">
        <v>7.8E-2</v>
      </c>
      <c r="P292" s="4">
        <v>0</v>
      </c>
      <c r="Q292" s="3" t="s">
        <v>26</v>
      </c>
      <c r="R292" s="3">
        <v>0</v>
      </c>
      <c r="S292" s="3" t="s">
        <v>236</v>
      </c>
      <c r="T292" s="3" t="s">
        <v>397</v>
      </c>
      <c r="U292" s="3">
        <v>0</v>
      </c>
      <c r="V292" s="3">
        <v>43</v>
      </c>
      <c r="W292" s="3">
        <v>81</v>
      </c>
    </row>
    <row r="293" spans="1:23" ht="11.25" customHeight="1" x14ac:dyDescent="0.3">
      <c r="A293" s="3" t="s">
        <v>21</v>
      </c>
      <c r="B293" s="3" t="s">
        <v>33</v>
      </c>
      <c r="C293" s="3" t="s">
        <v>23</v>
      </c>
      <c r="D293" s="3" t="s">
        <v>39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44440</v>
      </c>
      <c r="J293" s="4">
        <v>0</v>
      </c>
      <c r="K293" s="4">
        <v>0</v>
      </c>
      <c r="L293" s="4">
        <v>158.066</v>
      </c>
      <c r="M293" s="4">
        <v>158.066</v>
      </c>
      <c r="N293" s="4">
        <v>158.066</v>
      </c>
      <c r="O293" s="4">
        <v>158.066</v>
      </c>
      <c r="P293" s="4">
        <v>444</v>
      </c>
      <c r="Q293" s="3" t="s">
        <v>26</v>
      </c>
      <c r="R293" s="3">
        <v>0</v>
      </c>
      <c r="S293" s="3" t="s">
        <v>237</v>
      </c>
      <c r="T293" s="3" t="s">
        <v>398</v>
      </c>
      <c r="U293" s="3">
        <v>0</v>
      </c>
      <c r="V293" s="3">
        <v>46</v>
      </c>
      <c r="W293" s="3">
        <v>84</v>
      </c>
    </row>
    <row r="294" spans="1:23" ht="11.25" customHeight="1" x14ac:dyDescent="0.3">
      <c r="A294" s="3" t="s">
        <v>28</v>
      </c>
      <c r="B294" s="3" t="s">
        <v>33</v>
      </c>
      <c r="C294" s="3" t="s">
        <v>23</v>
      </c>
      <c r="D294" s="3" t="s">
        <v>39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44440</v>
      </c>
      <c r="J294" s="4">
        <v>0</v>
      </c>
      <c r="K294" s="4">
        <v>0</v>
      </c>
      <c r="L294" s="4">
        <v>14.866</v>
      </c>
      <c r="M294" s="4">
        <v>14.866</v>
      </c>
      <c r="N294" s="4">
        <v>14.866</v>
      </c>
      <c r="O294" s="4">
        <v>14.866</v>
      </c>
      <c r="P294" s="4">
        <v>8</v>
      </c>
      <c r="Q294" s="3" t="s">
        <v>26</v>
      </c>
      <c r="R294" s="3">
        <v>0</v>
      </c>
      <c r="S294" s="3" t="s">
        <v>237</v>
      </c>
      <c r="T294" s="3" t="s">
        <v>398</v>
      </c>
      <c r="U294" s="3">
        <v>0</v>
      </c>
      <c r="V294" s="3">
        <v>46</v>
      </c>
      <c r="W294" s="3">
        <v>84</v>
      </c>
    </row>
    <row r="295" spans="1:23" ht="11.25" customHeight="1" x14ac:dyDescent="0.3">
      <c r="A295" s="3" t="s">
        <v>21</v>
      </c>
      <c r="B295" s="3" t="s">
        <v>33</v>
      </c>
      <c r="C295" s="3" t="s">
        <v>23</v>
      </c>
      <c r="D295" s="3" t="s">
        <v>39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44470</v>
      </c>
      <c r="J295" s="4">
        <v>0</v>
      </c>
      <c r="K295" s="4">
        <v>0</v>
      </c>
      <c r="L295" s="4">
        <v>158.61799999999999</v>
      </c>
      <c r="M295" s="4">
        <v>158.61799999999999</v>
      </c>
      <c r="N295" s="4">
        <v>158.61799999999999</v>
      </c>
      <c r="O295" s="4">
        <v>158.61799999999999</v>
      </c>
      <c r="P295" s="4">
        <v>446</v>
      </c>
      <c r="Q295" s="3" t="s">
        <v>26</v>
      </c>
      <c r="R295" s="3">
        <v>0</v>
      </c>
      <c r="S295" s="3" t="s">
        <v>238</v>
      </c>
      <c r="T295" s="3" t="s">
        <v>399</v>
      </c>
      <c r="U295" s="3">
        <v>0</v>
      </c>
      <c r="V295" s="3">
        <v>46</v>
      </c>
      <c r="W295" s="3">
        <v>84</v>
      </c>
    </row>
    <row r="296" spans="1:23" ht="11.25" customHeight="1" x14ac:dyDescent="0.3">
      <c r="A296" s="3" t="s">
        <v>27</v>
      </c>
      <c r="B296" s="3" t="s">
        <v>33</v>
      </c>
      <c r="C296" s="3" t="s">
        <v>23</v>
      </c>
      <c r="D296" s="3" t="s">
        <v>39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0</v>
      </c>
      <c r="K296" s="4">
        <v>0</v>
      </c>
      <c r="L296" s="4">
        <v>0.97199999999999998</v>
      </c>
      <c r="M296" s="4">
        <v>0.97199999999999998</v>
      </c>
      <c r="N296" s="4">
        <v>0.97199999999999998</v>
      </c>
      <c r="O296" s="4">
        <v>0.97199999999999998</v>
      </c>
      <c r="P296" s="4">
        <v>0</v>
      </c>
      <c r="Q296" s="3" t="s">
        <v>26</v>
      </c>
      <c r="R296" s="3">
        <v>0</v>
      </c>
      <c r="S296" s="3" t="s">
        <v>238</v>
      </c>
      <c r="T296" s="3" t="s">
        <v>399</v>
      </c>
      <c r="U296" s="3">
        <v>0</v>
      </c>
      <c r="V296" s="3">
        <v>46</v>
      </c>
      <c r="W296" s="3">
        <v>84</v>
      </c>
    </row>
    <row r="297" spans="1:23" ht="11.25" customHeight="1" x14ac:dyDescent="0.3">
      <c r="A297" s="3" t="s">
        <v>28</v>
      </c>
      <c r="B297" s="3" t="s">
        <v>33</v>
      </c>
      <c r="C297" s="3" t="s">
        <v>23</v>
      </c>
      <c r="D297" s="3" t="s">
        <v>39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44470</v>
      </c>
      <c r="J297" s="4">
        <v>0</v>
      </c>
      <c r="K297" s="4">
        <v>0</v>
      </c>
      <c r="L297" s="4">
        <v>7.452</v>
      </c>
      <c r="M297" s="4">
        <v>7.452</v>
      </c>
      <c r="N297" s="4">
        <v>7.452</v>
      </c>
      <c r="O297" s="4">
        <v>7.452</v>
      </c>
      <c r="P297" s="4">
        <v>8</v>
      </c>
      <c r="Q297" s="3" t="s">
        <v>26</v>
      </c>
      <c r="R297" s="3">
        <v>0</v>
      </c>
      <c r="S297" s="3" t="s">
        <v>238</v>
      </c>
      <c r="T297" s="3" t="s">
        <v>399</v>
      </c>
      <c r="U297" s="3">
        <v>0</v>
      </c>
      <c r="V297" s="3">
        <v>46</v>
      </c>
      <c r="W297" s="3">
        <v>84</v>
      </c>
    </row>
    <row r="298" spans="1:23" ht="11.25" customHeight="1" x14ac:dyDescent="0.3">
      <c r="A298" s="3" t="s">
        <v>21</v>
      </c>
      <c r="B298" s="3" t="s">
        <v>33</v>
      </c>
      <c r="C298" s="3" t="s">
        <v>23</v>
      </c>
      <c r="D298" s="3" t="s">
        <v>39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178.25899999999999</v>
      </c>
      <c r="M298" s="4">
        <v>178.25899999999999</v>
      </c>
      <c r="N298" s="4">
        <v>178.25899999999999</v>
      </c>
      <c r="O298" s="4">
        <v>178.25899999999999</v>
      </c>
      <c r="P298" s="4">
        <v>444</v>
      </c>
      <c r="Q298" s="3" t="s">
        <v>26</v>
      </c>
      <c r="R298" s="3">
        <v>0</v>
      </c>
      <c r="S298" s="3" t="s">
        <v>239</v>
      </c>
      <c r="T298" s="3" t="s">
        <v>400</v>
      </c>
      <c r="U298" s="3">
        <v>0</v>
      </c>
      <c r="V298" s="3">
        <v>46</v>
      </c>
      <c r="W298" s="3">
        <v>84</v>
      </c>
    </row>
    <row r="299" spans="1:23" ht="11.25" customHeight="1" x14ac:dyDescent="0.3">
      <c r="A299" s="3" t="s">
        <v>28</v>
      </c>
      <c r="B299" s="3" t="s">
        <v>33</v>
      </c>
      <c r="C299" s="3" t="s">
        <v>23</v>
      </c>
      <c r="D299" s="3" t="s">
        <v>39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44501</v>
      </c>
      <c r="J299" s="4">
        <v>0</v>
      </c>
      <c r="K299" s="4">
        <v>0</v>
      </c>
      <c r="L299" s="4">
        <v>1.276</v>
      </c>
      <c r="M299" s="4">
        <v>1.276</v>
      </c>
      <c r="N299" s="4">
        <v>1.276</v>
      </c>
      <c r="O299" s="4">
        <v>1.276</v>
      </c>
      <c r="P299" s="4">
        <v>8</v>
      </c>
      <c r="Q299" s="3" t="s">
        <v>26</v>
      </c>
      <c r="R299" s="3">
        <v>0</v>
      </c>
      <c r="S299" s="3" t="s">
        <v>239</v>
      </c>
      <c r="T299" s="3" t="s">
        <v>400</v>
      </c>
      <c r="U299" s="3">
        <v>0</v>
      </c>
      <c r="V299" s="3">
        <v>46</v>
      </c>
      <c r="W299" s="3">
        <v>84</v>
      </c>
    </row>
    <row r="300" spans="1:23" ht="11.25" customHeight="1" x14ac:dyDescent="0.3">
      <c r="A300" s="3" t="s">
        <v>21</v>
      </c>
      <c r="B300" s="3" t="s">
        <v>33</v>
      </c>
      <c r="C300" s="3" t="s">
        <v>23</v>
      </c>
      <c r="D300" s="3" t="s">
        <v>39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192.08699999999999</v>
      </c>
      <c r="M300" s="4">
        <v>192.08699999999999</v>
      </c>
      <c r="N300" s="4">
        <v>192.08699999999999</v>
      </c>
      <c r="O300" s="4">
        <v>192.08699999999999</v>
      </c>
      <c r="P300" s="4">
        <v>443</v>
      </c>
      <c r="Q300" s="3" t="s">
        <v>26</v>
      </c>
      <c r="R300" s="3">
        <v>0</v>
      </c>
      <c r="S300" s="3" t="s">
        <v>240</v>
      </c>
      <c r="T300" s="3" t="s">
        <v>401</v>
      </c>
      <c r="U300" s="3">
        <v>0</v>
      </c>
      <c r="V300" s="3">
        <v>46</v>
      </c>
      <c r="W300" s="3">
        <v>84</v>
      </c>
    </row>
    <row r="301" spans="1:23" ht="11.25" customHeight="1" x14ac:dyDescent="0.3">
      <c r="A301" s="3" t="s">
        <v>28</v>
      </c>
      <c r="B301" s="3" t="s">
        <v>33</v>
      </c>
      <c r="C301" s="3" t="s">
        <v>23</v>
      </c>
      <c r="D301" s="3" t="s">
        <v>39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44531</v>
      </c>
      <c r="J301" s="4">
        <v>0</v>
      </c>
      <c r="K301" s="4">
        <v>0</v>
      </c>
      <c r="L301" s="4">
        <v>1.4910000000000001</v>
      </c>
      <c r="M301" s="4">
        <v>1.4910000000000001</v>
      </c>
      <c r="N301" s="4">
        <v>1.4910000000000001</v>
      </c>
      <c r="O301" s="4">
        <v>1.4910000000000001</v>
      </c>
      <c r="P301" s="4">
        <v>8</v>
      </c>
      <c r="Q301" s="3" t="s">
        <v>26</v>
      </c>
      <c r="R301" s="3">
        <v>0</v>
      </c>
      <c r="S301" s="3" t="s">
        <v>240</v>
      </c>
      <c r="T301" s="3" t="s">
        <v>401</v>
      </c>
      <c r="U301" s="3">
        <v>0</v>
      </c>
      <c r="V301" s="3">
        <v>46</v>
      </c>
      <c r="W301" s="3">
        <v>84</v>
      </c>
    </row>
    <row r="302" spans="1:23" ht="11.25" customHeight="1" x14ac:dyDescent="0.3">
      <c r="A302" s="3" t="s">
        <v>21</v>
      </c>
      <c r="B302" s="3" t="s">
        <v>33</v>
      </c>
      <c r="C302" s="3" t="s">
        <v>23</v>
      </c>
      <c r="D302" s="3" t="s">
        <v>39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44562</v>
      </c>
      <c r="J302" s="4">
        <v>0</v>
      </c>
      <c r="K302" s="4">
        <v>0</v>
      </c>
      <c r="L302" s="4">
        <v>195.72300000000001</v>
      </c>
      <c r="M302" s="4">
        <v>195.72300000000001</v>
      </c>
      <c r="N302" s="4">
        <v>195.72300000000001</v>
      </c>
      <c r="O302" s="4">
        <v>195.72300000000001</v>
      </c>
      <c r="P302" s="4">
        <v>444</v>
      </c>
      <c r="Q302" s="3" t="s">
        <v>26</v>
      </c>
      <c r="R302" s="3">
        <v>0</v>
      </c>
      <c r="S302" s="3" t="s">
        <v>241</v>
      </c>
      <c r="T302" s="3" t="s">
        <v>402</v>
      </c>
      <c r="U302" s="3">
        <v>0</v>
      </c>
      <c r="V302" s="3">
        <v>46</v>
      </c>
      <c r="W302" s="3">
        <v>84</v>
      </c>
    </row>
    <row r="303" spans="1:23" ht="11.25" customHeight="1" x14ac:dyDescent="0.3">
      <c r="A303" s="3" t="s">
        <v>28</v>
      </c>
      <c r="B303" s="3" t="s">
        <v>33</v>
      </c>
      <c r="C303" s="3" t="s">
        <v>23</v>
      </c>
      <c r="D303" s="3" t="s">
        <v>39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44562</v>
      </c>
      <c r="J303" s="4">
        <v>0</v>
      </c>
      <c r="K303" s="4">
        <v>0</v>
      </c>
      <c r="L303" s="4">
        <v>2.5579999999999998</v>
      </c>
      <c r="M303" s="4">
        <v>2.5579999999999998</v>
      </c>
      <c r="N303" s="4">
        <v>2.5579999999999998</v>
      </c>
      <c r="O303" s="4">
        <v>2.5579999999999998</v>
      </c>
      <c r="P303" s="4">
        <v>8</v>
      </c>
      <c r="Q303" s="3" t="s">
        <v>26</v>
      </c>
      <c r="R303" s="3">
        <v>0</v>
      </c>
      <c r="S303" s="3" t="s">
        <v>241</v>
      </c>
      <c r="T303" s="3" t="s">
        <v>402</v>
      </c>
      <c r="U303" s="3">
        <v>0</v>
      </c>
      <c r="V303" s="3">
        <v>46</v>
      </c>
      <c r="W303" s="3">
        <v>84</v>
      </c>
    </row>
    <row r="304" spans="1:23" ht="11.25" customHeight="1" x14ac:dyDescent="0.3">
      <c r="A304" s="3" t="s">
        <v>21</v>
      </c>
      <c r="B304" s="3" t="s">
        <v>33</v>
      </c>
      <c r="C304" s="3" t="s">
        <v>23</v>
      </c>
      <c r="D304" s="3" t="s">
        <v>39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44593</v>
      </c>
      <c r="J304" s="4">
        <v>0</v>
      </c>
      <c r="K304" s="4">
        <v>0</v>
      </c>
      <c r="L304" s="4">
        <v>259.84300000000002</v>
      </c>
      <c r="M304" s="4">
        <v>259.84300000000002</v>
      </c>
      <c r="N304" s="4">
        <v>259.84300000000002</v>
      </c>
      <c r="O304" s="4">
        <v>259.84300000000002</v>
      </c>
      <c r="P304" s="4">
        <v>447</v>
      </c>
      <c r="Q304" s="3" t="s">
        <v>26</v>
      </c>
      <c r="R304" s="3">
        <v>0</v>
      </c>
      <c r="S304" s="3" t="s">
        <v>242</v>
      </c>
      <c r="T304" s="3" t="s">
        <v>403</v>
      </c>
      <c r="U304" s="3">
        <v>0</v>
      </c>
      <c r="V304" s="3">
        <v>46</v>
      </c>
      <c r="W304" s="3">
        <v>84</v>
      </c>
    </row>
    <row r="305" spans="1:23" ht="11.25" customHeight="1" x14ac:dyDescent="0.3">
      <c r="A305" s="3" t="s">
        <v>27</v>
      </c>
      <c r="B305" s="3" t="s">
        <v>33</v>
      </c>
      <c r="C305" s="3" t="s">
        <v>23</v>
      </c>
      <c r="D305" s="3" t="s">
        <v>39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44593</v>
      </c>
      <c r="J305" s="4">
        <v>0</v>
      </c>
      <c r="K305" s="4">
        <v>0</v>
      </c>
      <c r="L305" s="4">
        <v>-0.86299999999999999</v>
      </c>
      <c r="M305" s="4">
        <v>-0.86299999999999999</v>
      </c>
      <c r="N305" s="4">
        <v>-0.86299999999999999</v>
      </c>
      <c r="O305" s="4">
        <v>-0.86299999999999999</v>
      </c>
      <c r="P305" s="4">
        <v>0</v>
      </c>
      <c r="Q305" s="3" t="s">
        <v>26</v>
      </c>
      <c r="R305" s="3">
        <v>0</v>
      </c>
      <c r="S305" s="3" t="s">
        <v>242</v>
      </c>
      <c r="T305" s="3" t="s">
        <v>403</v>
      </c>
      <c r="U305" s="3">
        <v>0</v>
      </c>
      <c r="V305" s="3">
        <v>46</v>
      </c>
      <c r="W305" s="3">
        <v>84</v>
      </c>
    </row>
    <row r="306" spans="1:23" ht="11.25" customHeight="1" x14ac:dyDescent="0.3">
      <c r="A306" s="3" t="s">
        <v>28</v>
      </c>
      <c r="B306" s="3" t="s">
        <v>33</v>
      </c>
      <c r="C306" s="3" t="s">
        <v>23</v>
      </c>
      <c r="D306" s="3" t="s">
        <v>39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44593</v>
      </c>
      <c r="J306" s="4">
        <v>0</v>
      </c>
      <c r="K306" s="4">
        <v>0</v>
      </c>
      <c r="L306" s="4">
        <v>6.4580000000000002</v>
      </c>
      <c r="M306" s="4">
        <v>6.4580000000000002</v>
      </c>
      <c r="N306" s="4">
        <v>6.4580000000000002</v>
      </c>
      <c r="O306" s="4">
        <v>6.4580000000000002</v>
      </c>
      <c r="P306" s="4">
        <v>7</v>
      </c>
      <c r="Q306" s="3" t="s">
        <v>26</v>
      </c>
      <c r="R306" s="3">
        <v>0</v>
      </c>
      <c r="S306" s="3" t="s">
        <v>242</v>
      </c>
      <c r="T306" s="3" t="s">
        <v>403</v>
      </c>
      <c r="U306" s="3">
        <v>0</v>
      </c>
      <c r="V306" s="3">
        <v>46</v>
      </c>
      <c r="W306" s="3">
        <v>84</v>
      </c>
    </row>
    <row r="307" spans="1:23" ht="11.25" customHeight="1" x14ac:dyDescent="0.3">
      <c r="A307" s="3" t="s">
        <v>21</v>
      </c>
      <c r="B307" s="3" t="s">
        <v>33</v>
      </c>
      <c r="C307" s="3" t="s">
        <v>23</v>
      </c>
      <c r="D307" s="3" t="s">
        <v>39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44621</v>
      </c>
      <c r="J307" s="4">
        <v>0</v>
      </c>
      <c r="K307" s="4">
        <v>0</v>
      </c>
      <c r="L307" s="4">
        <v>210.20400000000001</v>
      </c>
      <c r="M307" s="4">
        <v>210.20400000000001</v>
      </c>
      <c r="N307" s="4">
        <v>210.20400000000001</v>
      </c>
      <c r="O307" s="4">
        <v>210.20400000000001</v>
      </c>
      <c r="P307" s="4">
        <v>447</v>
      </c>
      <c r="Q307" s="3" t="s">
        <v>26</v>
      </c>
      <c r="R307" s="3">
        <v>0</v>
      </c>
      <c r="S307" s="3" t="s">
        <v>243</v>
      </c>
      <c r="T307" s="3" t="s">
        <v>404</v>
      </c>
      <c r="U307" s="3">
        <v>0</v>
      </c>
      <c r="V307" s="3">
        <v>46</v>
      </c>
      <c r="W307" s="3">
        <v>84</v>
      </c>
    </row>
    <row r="308" spans="1:23" ht="11.25" customHeight="1" x14ac:dyDescent="0.3">
      <c r="A308" s="3" t="s">
        <v>28</v>
      </c>
      <c r="B308" s="3" t="s">
        <v>33</v>
      </c>
      <c r="C308" s="3" t="s">
        <v>23</v>
      </c>
      <c r="D308" s="3" t="s">
        <v>39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3.919</v>
      </c>
      <c r="M308" s="4">
        <v>3.919</v>
      </c>
      <c r="N308" s="4">
        <v>3.919</v>
      </c>
      <c r="O308" s="4">
        <v>3.919</v>
      </c>
      <c r="P308" s="4">
        <v>7</v>
      </c>
      <c r="Q308" s="3" t="s">
        <v>26</v>
      </c>
      <c r="R308" s="3">
        <v>0</v>
      </c>
      <c r="S308" s="3" t="s">
        <v>243</v>
      </c>
      <c r="T308" s="3" t="s">
        <v>404</v>
      </c>
      <c r="U308" s="3">
        <v>0</v>
      </c>
      <c r="V308" s="3">
        <v>46</v>
      </c>
      <c r="W308" s="3">
        <v>84</v>
      </c>
    </row>
    <row r="309" spans="1:23" ht="11.25" customHeight="1" x14ac:dyDescent="0.3">
      <c r="A309" s="3" t="s">
        <v>21</v>
      </c>
      <c r="B309" s="3" t="s">
        <v>33</v>
      </c>
      <c r="C309" s="3" t="s">
        <v>23</v>
      </c>
      <c r="D309" s="3" t="s">
        <v>39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44652</v>
      </c>
      <c r="J309" s="4">
        <v>0</v>
      </c>
      <c r="K309" s="4">
        <v>0</v>
      </c>
      <c r="L309" s="4">
        <v>179.47399999999999</v>
      </c>
      <c r="M309" s="4">
        <v>179.47399999999999</v>
      </c>
      <c r="N309" s="4">
        <v>179.47399999999999</v>
      </c>
      <c r="O309" s="4">
        <v>179.47399999999999</v>
      </c>
      <c r="P309" s="4">
        <v>447</v>
      </c>
      <c r="Q309" s="3" t="s">
        <v>26</v>
      </c>
      <c r="R309" s="3">
        <v>0</v>
      </c>
      <c r="S309" s="3" t="s">
        <v>244</v>
      </c>
      <c r="T309" s="3" t="s">
        <v>405</v>
      </c>
      <c r="U309" s="3">
        <v>0</v>
      </c>
      <c r="V309" s="3">
        <v>46</v>
      </c>
      <c r="W309" s="3">
        <v>84</v>
      </c>
    </row>
    <row r="310" spans="1:23" ht="11.25" customHeight="1" x14ac:dyDescent="0.3">
      <c r="A310" s="3" t="s">
        <v>27</v>
      </c>
      <c r="B310" s="3" t="s">
        <v>33</v>
      </c>
      <c r="C310" s="3" t="s">
        <v>23</v>
      </c>
      <c r="D310" s="3" t="s">
        <v>39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44652</v>
      </c>
      <c r="J310" s="4">
        <v>0</v>
      </c>
      <c r="K310" s="4">
        <v>0</v>
      </c>
      <c r="L310" s="4">
        <v>-0.34599999999999997</v>
      </c>
      <c r="M310" s="4">
        <v>-0.34599999999999997</v>
      </c>
      <c r="N310" s="4">
        <v>-0.34599999999999997</v>
      </c>
      <c r="O310" s="4">
        <v>-0.34599999999999997</v>
      </c>
      <c r="P310" s="4">
        <v>0</v>
      </c>
      <c r="Q310" s="3" t="s">
        <v>26</v>
      </c>
      <c r="R310" s="3">
        <v>0</v>
      </c>
      <c r="S310" s="3" t="s">
        <v>244</v>
      </c>
      <c r="T310" s="3" t="s">
        <v>405</v>
      </c>
      <c r="U310" s="3">
        <v>0</v>
      </c>
      <c r="V310" s="3">
        <v>46</v>
      </c>
      <c r="W310" s="3">
        <v>84</v>
      </c>
    </row>
    <row r="311" spans="1:23" ht="11.25" customHeight="1" x14ac:dyDescent="0.3">
      <c r="A311" s="3" t="s">
        <v>28</v>
      </c>
      <c r="B311" s="3" t="s">
        <v>33</v>
      </c>
      <c r="C311" s="3" t="s">
        <v>23</v>
      </c>
      <c r="D311" s="3" t="s">
        <v>39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44652</v>
      </c>
      <c r="J311" s="4">
        <v>0</v>
      </c>
      <c r="K311" s="4">
        <v>0</v>
      </c>
      <c r="L311" s="4">
        <v>2.3570000000000002</v>
      </c>
      <c r="M311" s="4">
        <v>2.3570000000000002</v>
      </c>
      <c r="N311" s="4">
        <v>2.3570000000000002</v>
      </c>
      <c r="O311" s="4">
        <v>2.3570000000000002</v>
      </c>
      <c r="P311" s="4">
        <v>7</v>
      </c>
      <c r="Q311" s="3" t="s">
        <v>26</v>
      </c>
      <c r="R311" s="3">
        <v>0</v>
      </c>
      <c r="S311" s="3" t="s">
        <v>244</v>
      </c>
      <c r="T311" s="3" t="s">
        <v>405</v>
      </c>
      <c r="U311" s="3">
        <v>0</v>
      </c>
      <c r="V311" s="3">
        <v>46</v>
      </c>
      <c r="W311" s="3">
        <v>84</v>
      </c>
    </row>
    <row r="312" spans="1:23" ht="11.25" customHeight="1" x14ac:dyDescent="0.3">
      <c r="A312" s="3" t="s">
        <v>21</v>
      </c>
      <c r="B312" s="3" t="s">
        <v>33</v>
      </c>
      <c r="C312" s="3" t="s">
        <v>23</v>
      </c>
      <c r="D312" s="3" t="s">
        <v>39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44682</v>
      </c>
      <c r="J312" s="4">
        <v>0</v>
      </c>
      <c r="K312" s="4">
        <v>0</v>
      </c>
      <c r="L312" s="4">
        <v>156.58600000000001</v>
      </c>
      <c r="M312" s="4">
        <v>156.58600000000001</v>
      </c>
      <c r="N312" s="4">
        <v>156.58600000000001</v>
      </c>
      <c r="O312" s="4">
        <v>156.58600000000001</v>
      </c>
      <c r="P312" s="4">
        <v>447</v>
      </c>
      <c r="Q312" s="3" t="s">
        <v>26</v>
      </c>
      <c r="R312" s="3">
        <v>0</v>
      </c>
      <c r="S312" s="3" t="s">
        <v>245</v>
      </c>
      <c r="T312" s="3" t="s">
        <v>406</v>
      </c>
      <c r="U312" s="3">
        <v>0</v>
      </c>
      <c r="V312" s="3">
        <v>46</v>
      </c>
      <c r="W312" s="3">
        <v>84</v>
      </c>
    </row>
    <row r="313" spans="1:23" ht="11.25" customHeight="1" x14ac:dyDescent="0.3">
      <c r="A313" s="3" t="s">
        <v>28</v>
      </c>
      <c r="B313" s="3" t="s">
        <v>33</v>
      </c>
      <c r="C313" s="3" t="s">
        <v>23</v>
      </c>
      <c r="D313" s="3" t="s">
        <v>39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44682</v>
      </c>
      <c r="J313" s="4">
        <v>0</v>
      </c>
      <c r="K313" s="4">
        <v>0</v>
      </c>
      <c r="L313" s="4">
        <v>1.2909999999999999</v>
      </c>
      <c r="M313" s="4">
        <v>1.2909999999999999</v>
      </c>
      <c r="N313" s="4">
        <v>1.2909999999999999</v>
      </c>
      <c r="O313" s="4">
        <v>1.2909999999999999</v>
      </c>
      <c r="P313" s="4">
        <v>8</v>
      </c>
      <c r="Q313" s="3" t="s">
        <v>26</v>
      </c>
      <c r="R313" s="3">
        <v>0</v>
      </c>
      <c r="S313" s="3" t="s">
        <v>245</v>
      </c>
      <c r="T313" s="3" t="s">
        <v>406</v>
      </c>
      <c r="U313" s="3">
        <v>0</v>
      </c>
      <c r="V313" s="3">
        <v>46</v>
      </c>
      <c r="W313" s="3">
        <v>84</v>
      </c>
    </row>
    <row r="314" spans="1:23" ht="11.25" customHeight="1" x14ac:dyDescent="0.3">
      <c r="A314" s="3" t="s">
        <v>21</v>
      </c>
      <c r="B314" s="3" t="s">
        <v>33</v>
      </c>
      <c r="C314" s="3" t="s">
        <v>23</v>
      </c>
      <c r="D314" s="3" t="s">
        <v>39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44713</v>
      </c>
      <c r="J314" s="4">
        <v>0</v>
      </c>
      <c r="K314" s="4">
        <v>0</v>
      </c>
      <c r="L314" s="4">
        <v>165.26300000000001</v>
      </c>
      <c r="M314" s="4">
        <v>165.26300000000001</v>
      </c>
      <c r="N314" s="4">
        <v>165.26300000000001</v>
      </c>
      <c r="O314" s="4">
        <v>165.26300000000001</v>
      </c>
      <c r="P314" s="4">
        <v>442</v>
      </c>
      <c r="Q314" s="3" t="s">
        <v>26</v>
      </c>
      <c r="R314" s="3">
        <v>0</v>
      </c>
      <c r="S314" s="3" t="s">
        <v>246</v>
      </c>
      <c r="T314" s="3" t="s">
        <v>407</v>
      </c>
      <c r="U314" s="3">
        <v>0</v>
      </c>
      <c r="V314" s="3">
        <v>46</v>
      </c>
      <c r="W314" s="3">
        <v>84</v>
      </c>
    </row>
    <row r="315" spans="1:23" ht="11.25" customHeight="1" x14ac:dyDescent="0.3">
      <c r="A315" s="3" t="s">
        <v>28</v>
      </c>
      <c r="B315" s="3" t="s">
        <v>33</v>
      </c>
      <c r="C315" s="3" t="s">
        <v>23</v>
      </c>
      <c r="D315" s="3" t="s">
        <v>39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44713</v>
      </c>
      <c r="J315" s="4">
        <v>0</v>
      </c>
      <c r="K315" s="4">
        <v>0</v>
      </c>
      <c r="L315" s="4">
        <v>1.6359999999999999</v>
      </c>
      <c r="M315" s="4">
        <v>1.6359999999999999</v>
      </c>
      <c r="N315" s="4">
        <v>1.6359999999999999</v>
      </c>
      <c r="O315" s="4">
        <v>1.6359999999999999</v>
      </c>
      <c r="P315" s="4">
        <v>8</v>
      </c>
      <c r="Q315" s="3" t="s">
        <v>26</v>
      </c>
      <c r="R315" s="3">
        <v>0</v>
      </c>
      <c r="S315" s="3" t="s">
        <v>246</v>
      </c>
      <c r="T315" s="3" t="s">
        <v>407</v>
      </c>
      <c r="U315" s="3">
        <v>0</v>
      </c>
      <c r="V315" s="3">
        <v>46</v>
      </c>
      <c r="W315" s="3">
        <v>84</v>
      </c>
    </row>
    <row r="316" spans="1:23" ht="11.25" customHeight="1" x14ac:dyDescent="0.3">
      <c r="A316" s="3" t="s">
        <v>21</v>
      </c>
      <c r="B316" s="3" t="s">
        <v>33</v>
      </c>
      <c r="C316" s="3" t="s">
        <v>23</v>
      </c>
      <c r="D316" s="3" t="s">
        <v>39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44743</v>
      </c>
      <c r="J316" s="4">
        <v>0</v>
      </c>
      <c r="K316" s="4">
        <v>0</v>
      </c>
      <c r="L316" s="4">
        <v>160.21700000000001</v>
      </c>
      <c r="M316" s="4">
        <v>160.21700000000001</v>
      </c>
      <c r="N316" s="4">
        <v>160.21700000000001</v>
      </c>
      <c r="O316" s="4">
        <v>160.21700000000001</v>
      </c>
      <c r="P316" s="4">
        <v>442</v>
      </c>
      <c r="Q316" s="3" t="s">
        <v>26</v>
      </c>
      <c r="R316" s="3">
        <v>0</v>
      </c>
      <c r="S316" s="3" t="s">
        <v>247</v>
      </c>
      <c r="T316" s="3" t="s">
        <v>408</v>
      </c>
      <c r="U316" s="3">
        <v>0</v>
      </c>
      <c r="V316" s="3">
        <v>46</v>
      </c>
      <c r="W316" s="3">
        <v>84</v>
      </c>
    </row>
    <row r="317" spans="1:23" ht="11.25" customHeight="1" x14ac:dyDescent="0.3">
      <c r="A317" s="3" t="s">
        <v>28</v>
      </c>
      <c r="B317" s="3" t="s">
        <v>33</v>
      </c>
      <c r="C317" s="3" t="s">
        <v>23</v>
      </c>
      <c r="D317" s="3" t="s">
        <v>39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44743</v>
      </c>
      <c r="J317" s="4">
        <v>0</v>
      </c>
      <c r="K317" s="4">
        <v>0</v>
      </c>
      <c r="L317" s="4">
        <v>3.056</v>
      </c>
      <c r="M317" s="4">
        <v>3.056</v>
      </c>
      <c r="N317" s="4">
        <v>3.056</v>
      </c>
      <c r="O317" s="4">
        <v>3.056</v>
      </c>
      <c r="P317" s="4">
        <v>8</v>
      </c>
      <c r="Q317" s="3" t="s">
        <v>26</v>
      </c>
      <c r="R317" s="3">
        <v>0</v>
      </c>
      <c r="S317" s="3" t="s">
        <v>247</v>
      </c>
      <c r="T317" s="3" t="s">
        <v>408</v>
      </c>
      <c r="U317" s="3">
        <v>0</v>
      </c>
      <c r="V317" s="3">
        <v>46</v>
      </c>
      <c r="W317" s="3">
        <v>84</v>
      </c>
    </row>
    <row r="318" spans="1:23" ht="11.25" customHeight="1" x14ac:dyDescent="0.3">
      <c r="A318" s="3" t="s">
        <v>55</v>
      </c>
      <c r="B318" s="3" t="s">
        <v>33</v>
      </c>
      <c r="C318" s="3" t="s">
        <v>23</v>
      </c>
      <c r="D318" s="3" t="s">
        <v>39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44774</v>
      </c>
      <c r="J318" s="4">
        <v>0</v>
      </c>
      <c r="K318" s="4">
        <v>0</v>
      </c>
      <c r="L318" s="4">
        <v>160.21700000000001</v>
      </c>
      <c r="M318" s="4">
        <v>160.21700000000001</v>
      </c>
      <c r="N318" s="4">
        <v>160.21700000000001</v>
      </c>
      <c r="O318" s="4">
        <v>160.21700000000001</v>
      </c>
      <c r="P318" s="4">
        <v>442</v>
      </c>
      <c r="Q318" s="3" t="s">
        <v>26</v>
      </c>
      <c r="R318" s="3">
        <v>0</v>
      </c>
      <c r="S318" s="3" t="s">
        <v>248</v>
      </c>
      <c r="T318" s="3" t="s">
        <v>409</v>
      </c>
      <c r="U318" s="3">
        <v>0</v>
      </c>
      <c r="V318" s="3">
        <v>46</v>
      </c>
      <c r="W318" s="3">
        <v>84</v>
      </c>
    </row>
    <row r="319" spans="1:23" ht="11.25" customHeight="1" x14ac:dyDescent="0.3">
      <c r="A319" s="3" t="s">
        <v>55</v>
      </c>
      <c r="B319" s="3" t="s">
        <v>33</v>
      </c>
      <c r="C319" s="3" t="s">
        <v>23</v>
      </c>
      <c r="D319" s="3" t="s">
        <v>39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3.056</v>
      </c>
      <c r="M319" s="4">
        <v>3.056</v>
      </c>
      <c r="N319" s="4">
        <v>3.056</v>
      </c>
      <c r="O319" s="4">
        <v>3.056</v>
      </c>
      <c r="P319" s="4">
        <v>8</v>
      </c>
      <c r="Q319" s="3" t="s">
        <v>26</v>
      </c>
      <c r="R319" s="3">
        <v>0</v>
      </c>
      <c r="S319" s="3" t="s">
        <v>248</v>
      </c>
      <c r="T319" s="3" t="s">
        <v>409</v>
      </c>
      <c r="U319" s="3">
        <v>0</v>
      </c>
      <c r="V319" s="3">
        <v>46</v>
      </c>
      <c r="W319" s="3">
        <v>84</v>
      </c>
    </row>
    <row r="320" spans="1:23" ht="11.25" customHeight="1" x14ac:dyDescent="0.3">
      <c r="A320" s="3" t="s">
        <v>21</v>
      </c>
      <c r="B320" s="3" t="s">
        <v>33</v>
      </c>
      <c r="C320" s="3" t="s">
        <v>23</v>
      </c>
      <c r="D320" s="3" t="s">
        <v>50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44440</v>
      </c>
      <c r="J320" s="4">
        <v>0</v>
      </c>
      <c r="K320" s="4">
        <v>0</v>
      </c>
      <c r="L320" s="4">
        <v>0.58699999999999997</v>
      </c>
      <c r="M320" s="4">
        <v>0.58699999999999997</v>
      </c>
      <c r="N320" s="4">
        <v>0.58699999999999997</v>
      </c>
      <c r="O320" s="4">
        <v>0.58699999999999997</v>
      </c>
      <c r="P320" s="4">
        <v>2</v>
      </c>
      <c r="Q320" s="3" t="s">
        <v>26</v>
      </c>
      <c r="R320" s="3">
        <v>0</v>
      </c>
      <c r="S320" s="3" t="s">
        <v>237</v>
      </c>
      <c r="T320" s="3" t="s">
        <v>398</v>
      </c>
      <c r="U320" s="3">
        <v>0</v>
      </c>
      <c r="V320" s="3">
        <v>46</v>
      </c>
      <c r="W320" s="3">
        <v>84</v>
      </c>
    </row>
    <row r="321" spans="1:23" ht="11.25" customHeight="1" x14ac:dyDescent="0.3">
      <c r="A321" s="3" t="s">
        <v>21</v>
      </c>
      <c r="B321" s="3" t="s">
        <v>33</v>
      </c>
      <c r="C321" s="3" t="s">
        <v>23</v>
      </c>
      <c r="D321" s="3" t="s">
        <v>50</v>
      </c>
      <c r="E321" s="3" t="s">
        <v>25</v>
      </c>
      <c r="F321" s="3" t="s">
        <v>25</v>
      </c>
      <c r="G321" s="3" t="s">
        <v>25</v>
      </c>
      <c r="H321" s="3" t="s">
        <v>25</v>
      </c>
      <c r="I321" s="6">
        <v>44470</v>
      </c>
      <c r="J321" s="4">
        <v>0</v>
      </c>
      <c r="K321" s="4">
        <v>0</v>
      </c>
      <c r="L321" s="4">
        <v>1.5369999999999999</v>
      </c>
      <c r="M321" s="4">
        <v>1.5369999999999999</v>
      </c>
      <c r="N321" s="4">
        <v>1.5369999999999999</v>
      </c>
      <c r="O321" s="4">
        <v>1.5369999999999999</v>
      </c>
      <c r="P321" s="4">
        <v>3</v>
      </c>
      <c r="Q321" s="3" t="s">
        <v>26</v>
      </c>
      <c r="R321" s="3">
        <v>0</v>
      </c>
      <c r="S321" s="3" t="s">
        <v>238</v>
      </c>
      <c r="T321" s="3" t="s">
        <v>399</v>
      </c>
      <c r="U321" s="3">
        <v>0</v>
      </c>
      <c r="V321" s="3">
        <v>46</v>
      </c>
      <c r="W321" s="3">
        <v>84</v>
      </c>
    </row>
    <row r="322" spans="1:23" ht="11.25" customHeight="1" x14ac:dyDescent="0.3">
      <c r="A322" s="3" t="s">
        <v>21</v>
      </c>
      <c r="B322" s="3" t="s">
        <v>33</v>
      </c>
      <c r="C322" s="3" t="s">
        <v>23</v>
      </c>
      <c r="D322" s="3" t="s">
        <v>50</v>
      </c>
      <c r="E322" s="3" t="s">
        <v>25</v>
      </c>
      <c r="F322" s="3" t="s">
        <v>25</v>
      </c>
      <c r="G322" s="3" t="s">
        <v>25</v>
      </c>
      <c r="H322" s="3" t="s">
        <v>25</v>
      </c>
      <c r="I322" s="6">
        <v>44501</v>
      </c>
      <c r="J322" s="4">
        <v>0</v>
      </c>
      <c r="K322" s="4">
        <v>0</v>
      </c>
      <c r="L322" s="4">
        <v>1.3919999999999999</v>
      </c>
      <c r="M322" s="4">
        <v>1.3919999999999999</v>
      </c>
      <c r="N322" s="4">
        <v>1.3919999999999999</v>
      </c>
      <c r="O322" s="4">
        <v>1.3919999999999999</v>
      </c>
      <c r="P322" s="4">
        <v>1</v>
      </c>
      <c r="Q322" s="3" t="s">
        <v>26</v>
      </c>
      <c r="R322" s="3">
        <v>0</v>
      </c>
      <c r="S322" s="3" t="s">
        <v>239</v>
      </c>
      <c r="T322" s="3" t="s">
        <v>400</v>
      </c>
      <c r="U322" s="3">
        <v>0</v>
      </c>
      <c r="V322" s="3">
        <v>46</v>
      </c>
      <c r="W322" s="3">
        <v>84</v>
      </c>
    </row>
    <row r="323" spans="1:23" ht="11.25" customHeight="1" x14ac:dyDescent="0.3">
      <c r="A323" s="3" t="s">
        <v>21</v>
      </c>
      <c r="B323" s="3" t="s">
        <v>33</v>
      </c>
      <c r="C323" s="3" t="s">
        <v>23</v>
      </c>
      <c r="D323" s="3" t="s">
        <v>50</v>
      </c>
      <c r="E323" s="3" t="s">
        <v>25</v>
      </c>
      <c r="F323" s="3" t="s">
        <v>25</v>
      </c>
      <c r="G323" s="3" t="s">
        <v>25</v>
      </c>
      <c r="H323" s="3" t="s">
        <v>25</v>
      </c>
      <c r="I323" s="6">
        <v>44531</v>
      </c>
      <c r="J323" s="4">
        <v>0</v>
      </c>
      <c r="K323" s="4">
        <v>0</v>
      </c>
      <c r="L323" s="4">
        <v>3.4969999999999999</v>
      </c>
      <c r="M323" s="4">
        <v>3.4969999999999999</v>
      </c>
      <c r="N323" s="4">
        <v>3.4969999999999999</v>
      </c>
      <c r="O323" s="4">
        <v>3.4969999999999999</v>
      </c>
      <c r="P323" s="4">
        <v>1</v>
      </c>
      <c r="Q323" s="3" t="s">
        <v>26</v>
      </c>
      <c r="R323" s="3">
        <v>0</v>
      </c>
      <c r="S323" s="3" t="s">
        <v>240</v>
      </c>
      <c r="T323" s="3" t="s">
        <v>401</v>
      </c>
      <c r="U323" s="3">
        <v>0</v>
      </c>
      <c r="V323" s="3">
        <v>46</v>
      </c>
      <c r="W323" s="3">
        <v>84</v>
      </c>
    </row>
    <row r="324" spans="1:23" ht="11.25" customHeight="1" x14ac:dyDescent="0.3">
      <c r="A324" s="3" t="s">
        <v>21</v>
      </c>
      <c r="B324" s="3" t="s">
        <v>33</v>
      </c>
      <c r="C324" s="3" t="s">
        <v>23</v>
      </c>
      <c r="D324" s="3" t="s">
        <v>50</v>
      </c>
      <c r="E324" s="3" t="s">
        <v>25</v>
      </c>
      <c r="F324" s="3" t="s">
        <v>25</v>
      </c>
      <c r="G324" s="3" t="s">
        <v>25</v>
      </c>
      <c r="H324" s="3" t="s">
        <v>25</v>
      </c>
      <c r="I324" s="6">
        <v>44562</v>
      </c>
      <c r="J324" s="4">
        <v>0</v>
      </c>
      <c r="K324" s="4">
        <v>0</v>
      </c>
      <c r="L324" s="4">
        <v>2.82</v>
      </c>
      <c r="M324" s="4">
        <v>2.82</v>
      </c>
      <c r="N324" s="4">
        <v>2.82</v>
      </c>
      <c r="O324" s="4">
        <v>2.82</v>
      </c>
      <c r="P324" s="4">
        <v>1</v>
      </c>
      <c r="Q324" s="3" t="s">
        <v>26</v>
      </c>
      <c r="R324" s="3">
        <v>0</v>
      </c>
      <c r="S324" s="3" t="s">
        <v>241</v>
      </c>
      <c r="T324" s="3" t="s">
        <v>402</v>
      </c>
      <c r="U324" s="3">
        <v>0</v>
      </c>
      <c r="V324" s="3">
        <v>46</v>
      </c>
      <c r="W324" s="3">
        <v>84</v>
      </c>
    </row>
    <row r="325" spans="1:23" ht="11.25" customHeight="1" x14ac:dyDescent="0.3">
      <c r="A325" s="3" t="s">
        <v>21</v>
      </c>
      <c r="B325" s="3" t="s">
        <v>33</v>
      </c>
      <c r="C325" s="3" t="s">
        <v>23</v>
      </c>
      <c r="D325" s="3" t="s">
        <v>50</v>
      </c>
      <c r="E325" s="3" t="s">
        <v>25</v>
      </c>
      <c r="F325" s="3" t="s">
        <v>25</v>
      </c>
      <c r="G325" s="3" t="s">
        <v>25</v>
      </c>
      <c r="H325" s="3" t="s">
        <v>25</v>
      </c>
      <c r="I325" s="6">
        <v>44593</v>
      </c>
      <c r="J325" s="4">
        <v>0</v>
      </c>
      <c r="K325" s="4">
        <v>0</v>
      </c>
      <c r="L325" s="4">
        <v>3.88</v>
      </c>
      <c r="M325" s="4">
        <v>3.88</v>
      </c>
      <c r="N325" s="4">
        <v>3.88</v>
      </c>
      <c r="O325" s="4">
        <v>3.88</v>
      </c>
      <c r="P325" s="4">
        <v>1</v>
      </c>
      <c r="Q325" s="3" t="s">
        <v>26</v>
      </c>
      <c r="R325" s="3">
        <v>0</v>
      </c>
      <c r="S325" s="3" t="s">
        <v>242</v>
      </c>
      <c r="T325" s="3" t="s">
        <v>403</v>
      </c>
      <c r="U325" s="3">
        <v>0</v>
      </c>
      <c r="V325" s="3">
        <v>46</v>
      </c>
      <c r="W325" s="3">
        <v>84</v>
      </c>
    </row>
    <row r="326" spans="1:23" ht="11.25" customHeight="1" x14ac:dyDescent="0.3">
      <c r="A326" s="3" t="s">
        <v>21</v>
      </c>
      <c r="B326" s="3" t="s">
        <v>33</v>
      </c>
      <c r="C326" s="3" t="s">
        <v>23</v>
      </c>
      <c r="D326" s="3" t="s">
        <v>50</v>
      </c>
      <c r="E326" s="3" t="s">
        <v>25</v>
      </c>
      <c r="F326" s="3" t="s">
        <v>25</v>
      </c>
      <c r="G326" s="3" t="s">
        <v>25</v>
      </c>
      <c r="H326" s="3" t="s">
        <v>25</v>
      </c>
      <c r="I326" s="6">
        <v>44621</v>
      </c>
      <c r="J326" s="4">
        <v>0</v>
      </c>
      <c r="K326" s="4">
        <v>0</v>
      </c>
      <c r="L326" s="4">
        <v>2.657</v>
      </c>
      <c r="M326" s="4">
        <v>2.657</v>
      </c>
      <c r="N326" s="4">
        <v>2.657</v>
      </c>
      <c r="O326" s="4">
        <v>2.657</v>
      </c>
      <c r="P326" s="4">
        <v>1</v>
      </c>
      <c r="Q326" s="3" t="s">
        <v>26</v>
      </c>
      <c r="R326" s="3">
        <v>0</v>
      </c>
      <c r="S326" s="3" t="s">
        <v>243</v>
      </c>
      <c r="T326" s="3" t="s">
        <v>404</v>
      </c>
      <c r="U326" s="3">
        <v>0</v>
      </c>
      <c r="V326" s="3">
        <v>46</v>
      </c>
      <c r="W326" s="3">
        <v>84</v>
      </c>
    </row>
    <row r="327" spans="1:23" ht="11.25" customHeight="1" x14ac:dyDescent="0.3">
      <c r="A327" s="3" t="s">
        <v>21</v>
      </c>
      <c r="B327" s="3" t="s">
        <v>33</v>
      </c>
      <c r="C327" s="3" t="s">
        <v>23</v>
      </c>
      <c r="D327" s="3" t="s">
        <v>50</v>
      </c>
      <c r="E327" s="3" t="s">
        <v>25</v>
      </c>
      <c r="F327" s="3" t="s">
        <v>25</v>
      </c>
      <c r="G327" s="3" t="s">
        <v>25</v>
      </c>
      <c r="H327" s="3" t="s">
        <v>25</v>
      </c>
      <c r="I327" s="6">
        <v>44652</v>
      </c>
      <c r="J327" s="4">
        <v>0</v>
      </c>
      <c r="K327" s="4">
        <v>0</v>
      </c>
      <c r="L327" s="4">
        <v>2.4729999999999999</v>
      </c>
      <c r="M327" s="4">
        <v>2.4729999999999999</v>
      </c>
      <c r="N327" s="4">
        <v>2.4729999999999999</v>
      </c>
      <c r="O327" s="4">
        <v>2.4729999999999999</v>
      </c>
      <c r="P327" s="4">
        <v>1</v>
      </c>
      <c r="Q327" s="3" t="s">
        <v>26</v>
      </c>
      <c r="R327" s="3">
        <v>0</v>
      </c>
      <c r="S327" s="3" t="s">
        <v>244</v>
      </c>
      <c r="T327" s="3" t="s">
        <v>405</v>
      </c>
      <c r="U327" s="3">
        <v>0</v>
      </c>
      <c r="V327" s="3">
        <v>46</v>
      </c>
      <c r="W327" s="3">
        <v>84</v>
      </c>
    </row>
    <row r="328" spans="1:23" ht="11.25" customHeight="1" x14ac:dyDescent="0.3">
      <c r="A328" s="3" t="s">
        <v>21</v>
      </c>
      <c r="B328" s="3" t="s">
        <v>33</v>
      </c>
      <c r="C328" s="3" t="s">
        <v>23</v>
      </c>
      <c r="D328" s="3" t="s">
        <v>50</v>
      </c>
      <c r="E328" s="3" t="s">
        <v>25</v>
      </c>
      <c r="F328" s="3" t="s">
        <v>25</v>
      </c>
      <c r="G328" s="3" t="s">
        <v>25</v>
      </c>
      <c r="H328" s="3" t="s">
        <v>25</v>
      </c>
      <c r="I328" s="6">
        <v>44682</v>
      </c>
      <c r="J328" s="4">
        <v>0</v>
      </c>
      <c r="K328" s="4">
        <v>0</v>
      </c>
      <c r="L328" s="4">
        <v>2.0070000000000001</v>
      </c>
      <c r="M328" s="4">
        <v>2.0070000000000001</v>
      </c>
      <c r="N328" s="4">
        <v>2.0070000000000001</v>
      </c>
      <c r="O328" s="4">
        <v>2.0070000000000001</v>
      </c>
      <c r="P328" s="4">
        <v>1</v>
      </c>
      <c r="Q328" s="3" t="s">
        <v>26</v>
      </c>
      <c r="R328" s="3">
        <v>0</v>
      </c>
      <c r="S328" s="3" t="s">
        <v>245</v>
      </c>
      <c r="T328" s="3" t="s">
        <v>406</v>
      </c>
      <c r="U328" s="3">
        <v>0</v>
      </c>
      <c r="V328" s="3">
        <v>46</v>
      </c>
      <c r="W328" s="3">
        <v>84</v>
      </c>
    </row>
    <row r="329" spans="1:23" ht="11.25" customHeight="1" x14ac:dyDescent="0.3">
      <c r="A329" s="3" t="s">
        <v>21</v>
      </c>
      <c r="B329" s="3" t="s">
        <v>33</v>
      </c>
      <c r="C329" s="3" t="s">
        <v>23</v>
      </c>
      <c r="D329" s="3" t="s">
        <v>50</v>
      </c>
      <c r="E329" s="3" t="s">
        <v>25</v>
      </c>
      <c r="F329" s="3" t="s">
        <v>25</v>
      </c>
      <c r="G329" s="3" t="s">
        <v>25</v>
      </c>
      <c r="H329" s="3" t="s">
        <v>25</v>
      </c>
      <c r="I329" s="6">
        <v>44713</v>
      </c>
      <c r="J329" s="4">
        <v>0</v>
      </c>
      <c r="K329" s="4">
        <v>0</v>
      </c>
      <c r="L329" s="4">
        <v>2.0249999999999999</v>
      </c>
      <c r="M329" s="4">
        <v>2.0249999999999999</v>
      </c>
      <c r="N329" s="4">
        <v>2.0249999999999999</v>
      </c>
      <c r="O329" s="4">
        <v>2.0249999999999999</v>
      </c>
      <c r="P329" s="4">
        <v>1</v>
      </c>
      <c r="Q329" s="3" t="s">
        <v>26</v>
      </c>
      <c r="R329" s="3">
        <v>0</v>
      </c>
      <c r="S329" s="3" t="s">
        <v>246</v>
      </c>
      <c r="T329" s="3" t="s">
        <v>407</v>
      </c>
      <c r="U329" s="3">
        <v>0</v>
      </c>
      <c r="V329" s="3">
        <v>46</v>
      </c>
      <c r="W329" s="3">
        <v>84</v>
      </c>
    </row>
    <row r="330" spans="1:23" ht="11.25" customHeight="1" x14ac:dyDescent="0.3">
      <c r="A330" s="3" t="s">
        <v>21</v>
      </c>
      <c r="B330" s="3" t="s">
        <v>33</v>
      </c>
      <c r="C330" s="3" t="s">
        <v>23</v>
      </c>
      <c r="D330" s="3" t="s">
        <v>50</v>
      </c>
      <c r="E330" s="3" t="s">
        <v>25</v>
      </c>
      <c r="F330" s="3" t="s">
        <v>25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1.8839999999999999</v>
      </c>
      <c r="M330" s="4">
        <v>1.8839999999999999</v>
      </c>
      <c r="N330" s="4">
        <v>1.8839999999999999</v>
      </c>
      <c r="O330" s="4">
        <v>1.8839999999999999</v>
      </c>
      <c r="P330" s="4">
        <v>1</v>
      </c>
      <c r="Q330" s="3" t="s">
        <v>26</v>
      </c>
      <c r="R330" s="3">
        <v>0</v>
      </c>
      <c r="S330" s="3" t="s">
        <v>247</v>
      </c>
      <c r="T330" s="3" t="s">
        <v>408</v>
      </c>
      <c r="U330" s="3">
        <v>0</v>
      </c>
      <c r="V330" s="3">
        <v>46</v>
      </c>
      <c r="W330" s="3">
        <v>84</v>
      </c>
    </row>
    <row r="331" spans="1:23" ht="11.25" customHeight="1" x14ac:dyDescent="0.3">
      <c r="A331" s="3" t="s">
        <v>55</v>
      </c>
      <c r="B331" s="3" t="s">
        <v>33</v>
      </c>
      <c r="C331" s="3" t="s">
        <v>23</v>
      </c>
      <c r="D331" s="3" t="s">
        <v>50</v>
      </c>
      <c r="E331" s="3" t="s">
        <v>25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1.8839999999999999</v>
      </c>
      <c r="M331" s="4">
        <v>1.8839999999999999</v>
      </c>
      <c r="N331" s="4">
        <v>1.8839999999999999</v>
      </c>
      <c r="O331" s="4">
        <v>1.8839999999999999</v>
      </c>
      <c r="P331" s="4">
        <v>1</v>
      </c>
      <c r="Q331" s="3" t="s">
        <v>26</v>
      </c>
      <c r="R331" s="3">
        <v>0</v>
      </c>
      <c r="S331" s="3" t="s">
        <v>248</v>
      </c>
      <c r="T331" s="3" t="s">
        <v>409</v>
      </c>
      <c r="U331" s="3">
        <v>0</v>
      </c>
      <c r="V331" s="3">
        <v>46</v>
      </c>
      <c r="W331" s="3">
        <v>84</v>
      </c>
    </row>
    <row r="332" spans="1:23" ht="11.25" customHeight="1" x14ac:dyDescent="0.3">
      <c r="A332" s="3" t="s">
        <v>21</v>
      </c>
      <c r="B332" s="3" t="s">
        <v>33</v>
      </c>
      <c r="C332" s="3" t="s">
        <v>23</v>
      </c>
      <c r="D332" s="3" t="s">
        <v>34</v>
      </c>
      <c r="E332" s="3" t="s">
        <v>25</v>
      </c>
      <c r="F332" s="3" t="s">
        <v>25</v>
      </c>
      <c r="G332" s="3" t="s">
        <v>25</v>
      </c>
      <c r="H332" s="3" t="s">
        <v>25</v>
      </c>
      <c r="I332" s="6">
        <v>44440</v>
      </c>
      <c r="J332" s="4">
        <v>0</v>
      </c>
      <c r="K332" s="4">
        <v>0</v>
      </c>
      <c r="L332" s="4">
        <v>19.715</v>
      </c>
      <c r="M332" s="4">
        <v>19.715</v>
      </c>
      <c r="N332" s="4">
        <v>19.715</v>
      </c>
      <c r="O332" s="4">
        <v>19.715</v>
      </c>
      <c r="P332" s="4">
        <v>40</v>
      </c>
      <c r="Q332" s="3" t="s">
        <v>26</v>
      </c>
      <c r="R332" s="3">
        <v>0</v>
      </c>
      <c r="S332" s="3" t="s">
        <v>237</v>
      </c>
      <c r="T332" s="3" t="s">
        <v>398</v>
      </c>
      <c r="U332" s="3">
        <v>0</v>
      </c>
      <c r="V332" s="3">
        <v>46</v>
      </c>
      <c r="W332" s="3">
        <v>84</v>
      </c>
    </row>
    <row r="333" spans="1:23" ht="11.25" customHeight="1" x14ac:dyDescent="0.3">
      <c r="A333" s="3" t="s">
        <v>28</v>
      </c>
      <c r="B333" s="3" t="s">
        <v>33</v>
      </c>
      <c r="C333" s="3" t="s">
        <v>23</v>
      </c>
      <c r="D333" s="3" t="s">
        <v>34</v>
      </c>
      <c r="E333" s="3" t="s">
        <v>25</v>
      </c>
      <c r="F333" s="3" t="s">
        <v>25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13.798999999999999</v>
      </c>
      <c r="M333" s="4">
        <v>13.798999999999999</v>
      </c>
      <c r="N333" s="4">
        <v>13.798999999999999</v>
      </c>
      <c r="O333" s="4">
        <v>13.798999999999999</v>
      </c>
      <c r="P333" s="4">
        <v>4</v>
      </c>
      <c r="Q333" s="3" t="s">
        <v>26</v>
      </c>
      <c r="R333" s="3">
        <v>0</v>
      </c>
      <c r="S333" s="3" t="s">
        <v>237</v>
      </c>
      <c r="T333" s="3" t="s">
        <v>398</v>
      </c>
      <c r="U333" s="3">
        <v>0</v>
      </c>
      <c r="V333" s="3">
        <v>46</v>
      </c>
      <c r="W333" s="3">
        <v>84</v>
      </c>
    </row>
    <row r="334" spans="1:23" ht="11.25" customHeight="1" x14ac:dyDescent="0.3">
      <c r="A334" s="3" t="s">
        <v>21</v>
      </c>
      <c r="B334" s="3" t="s">
        <v>33</v>
      </c>
      <c r="C334" s="3" t="s">
        <v>23</v>
      </c>
      <c r="D334" s="3" t="s">
        <v>34</v>
      </c>
      <c r="E334" s="3" t="s">
        <v>25</v>
      </c>
      <c r="F334" s="3" t="s">
        <v>25</v>
      </c>
      <c r="G334" s="3" t="s">
        <v>25</v>
      </c>
      <c r="H334" s="3" t="s">
        <v>25</v>
      </c>
      <c r="I334" s="6">
        <v>44470</v>
      </c>
      <c r="J334" s="4">
        <v>0</v>
      </c>
      <c r="K334" s="4">
        <v>0</v>
      </c>
      <c r="L334" s="4">
        <v>21.478000000000002</v>
      </c>
      <c r="M334" s="4">
        <v>21.478000000000002</v>
      </c>
      <c r="N334" s="4">
        <v>21.478000000000002</v>
      </c>
      <c r="O334" s="4">
        <v>21.478000000000002</v>
      </c>
      <c r="P334" s="4">
        <v>38</v>
      </c>
      <c r="Q334" s="3" t="s">
        <v>26</v>
      </c>
      <c r="R334" s="3">
        <v>0</v>
      </c>
      <c r="S334" s="3" t="s">
        <v>238</v>
      </c>
      <c r="T334" s="3" t="s">
        <v>399</v>
      </c>
      <c r="U334" s="3">
        <v>0</v>
      </c>
      <c r="V334" s="3">
        <v>46</v>
      </c>
      <c r="W334" s="3">
        <v>84</v>
      </c>
    </row>
    <row r="335" spans="1:23" ht="11.25" customHeight="1" x14ac:dyDescent="0.3">
      <c r="A335" s="3" t="s">
        <v>28</v>
      </c>
      <c r="B335" s="3" t="s">
        <v>33</v>
      </c>
      <c r="C335" s="3" t="s">
        <v>23</v>
      </c>
      <c r="D335" s="3" t="s">
        <v>34</v>
      </c>
      <c r="E335" s="3" t="s">
        <v>25</v>
      </c>
      <c r="F335" s="3" t="s">
        <v>25</v>
      </c>
      <c r="G335" s="3" t="s">
        <v>25</v>
      </c>
      <c r="H335" s="3" t="s">
        <v>25</v>
      </c>
      <c r="I335" s="6">
        <v>44470</v>
      </c>
      <c r="J335" s="4">
        <v>0</v>
      </c>
      <c r="K335" s="4">
        <v>0</v>
      </c>
      <c r="L335" s="4">
        <v>15.423999999999999</v>
      </c>
      <c r="M335" s="4">
        <v>15.423999999999999</v>
      </c>
      <c r="N335" s="4">
        <v>15.423999999999999</v>
      </c>
      <c r="O335" s="4">
        <v>15.423999999999999</v>
      </c>
      <c r="P335" s="4">
        <v>4</v>
      </c>
      <c r="Q335" s="3" t="s">
        <v>26</v>
      </c>
      <c r="R335" s="3">
        <v>0</v>
      </c>
      <c r="S335" s="3" t="s">
        <v>238</v>
      </c>
      <c r="T335" s="3" t="s">
        <v>399</v>
      </c>
      <c r="U335" s="3">
        <v>0</v>
      </c>
      <c r="V335" s="3">
        <v>46</v>
      </c>
      <c r="W335" s="3">
        <v>84</v>
      </c>
    </row>
    <row r="336" spans="1:23" ht="11.25" customHeight="1" x14ac:dyDescent="0.3">
      <c r="A336" s="3" t="s">
        <v>21</v>
      </c>
      <c r="B336" s="3" t="s">
        <v>33</v>
      </c>
      <c r="C336" s="3" t="s">
        <v>23</v>
      </c>
      <c r="D336" s="3" t="s">
        <v>34</v>
      </c>
      <c r="E336" s="3" t="s">
        <v>25</v>
      </c>
      <c r="F336" s="3" t="s">
        <v>25</v>
      </c>
      <c r="G336" s="3" t="s">
        <v>25</v>
      </c>
      <c r="H336" s="3" t="s">
        <v>25</v>
      </c>
      <c r="I336" s="6">
        <v>44501</v>
      </c>
      <c r="J336" s="4">
        <v>0</v>
      </c>
      <c r="K336" s="4">
        <v>0</v>
      </c>
      <c r="L336" s="4">
        <v>24.670999999999999</v>
      </c>
      <c r="M336" s="4">
        <v>24.670999999999999</v>
      </c>
      <c r="N336" s="4">
        <v>24.670999999999999</v>
      </c>
      <c r="O336" s="4">
        <v>24.670999999999999</v>
      </c>
      <c r="P336" s="4">
        <v>37</v>
      </c>
      <c r="Q336" s="3" t="s">
        <v>26</v>
      </c>
      <c r="R336" s="3">
        <v>0</v>
      </c>
      <c r="S336" s="3" t="s">
        <v>239</v>
      </c>
      <c r="T336" s="3" t="s">
        <v>400</v>
      </c>
      <c r="U336" s="3">
        <v>0</v>
      </c>
      <c r="V336" s="3">
        <v>46</v>
      </c>
      <c r="W336" s="3">
        <v>84</v>
      </c>
    </row>
    <row r="337" spans="1:23" ht="11.25" customHeight="1" x14ac:dyDescent="0.3">
      <c r="A337" s="3" t="s">
        <v>28</v>
      </c>
      <c r="B337" s="3" t="s">
        <v>33</v>
      </c>
      <c r="C337" s="3" t="s">
        <v>23</v>
      </c>
      <c r="D337" s="3" t="s">
        <v>34</v>
      </c>
      <c r="E337" s="3" t="s">
        <v>25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4">
        <v>0</v>
      </c>
      <c r="L337" s="4">
        <v>9.93</v>
      </c>
      <c r="M337" s="4">
        <v>9.93</v>
      </c>
      <c r="N337" s="4">
        <v>9.93</v>
      </c>
      <c r="O337" s="4">
        <v>9.93</v>
      </c>
      <c r="P337" s="4">
        <v>4</v>
      </c>
      <c r="Q337" s="3" t="s">
        <v>26</v>
      </c>
      <c r="R337" s="3">
        <v>0</v>
      </c>
      <c r="S337" s="3" t="s">
        <v>239</v>
      </c>
      <c r="T337" s="3" t="s">
        <v>400</v>
      </c>
      <c r="U337" s="3">
        <v>0</v>
      </c>
      <c r="V337" s="3">
        <v>46</v>
      </c>
      <c r="W337" s="3">
        <v>84</v>
      </c>
    </row>
    <row r="338" spans="1:23" ht="11.25" customHeight="1" x14ac:dyDescent="0.3">
      <c r="A338" s="3" t="s">
        <v>21</v>
      </c>
      <c r="B338" s="3" t="s">
        <v>33</v>
      </c>
      <c r="C338" s="3" t="s">
        <v>23</v>
      </c>
      <c r="D338" s="3" t="s">
        <v>34</v>
      </c>
      <c r="E338" s="3" t="s">
        <v>25</v>
      </c>
      <c r="F338" s="3" t="s">
        <v>25</v>
      </c>
      <c r="G338" s="3" t="s">
        <v>25</v>
      </c>
      <c r="H338" s="3" t="s">
        <v>25</v>
      </c>
      <c r="I338" s="6">
        <v>44531</v>
      </c>
      <c r="J338" s="4">
        <v>0</v>
      </c>
      <c r="K338" s="4">
        <v>0</v>
      </c>
      <c r="L338" s="4">
        <v>26.326000000000001</v>
      </c>
      <c r="M338" s="4">
        <v>26.326000000000001</v>
      </c>
      <c r="N338" s="4">
        <v>26.326000000000001</v>
      </c>
      <c r="O338" s="4">
        <v>26.326000000000001</v>
      </c>
      <c r="P338" s="4">
        <v>37</v>
      </c>
      <c r="Q338" s="3" t="s">
        <v>26</v>
      </c>
      <c r="R338" s="3">
        <v>0</v>
      </c>
      <c r="S338" s="3" t="s">
        <v>240</v>
      </c>
      <c r="T338" s="3" t="s">
        <v>401</v>
      </c>
      <c r="U338" s="3">
        <v>0</v>
      </c>
      <c r="V338" s="3">
        <v>46</v>
      </c>
      <c r="W338" s="3">
        <v>84</v>
      </c>
    </row>
    <row r="339" spans="1:23" ht="11.25" customHeight="1" x14ac:dyDescent="0.3">
      <c r="A339" s="3" t="s">
        <v>28</v>
      </c>
      <c r="B339" s="3" t="s">
        <v>33</v>
      </c>
      <c r="C339" s="3" t="s">
        <v>23</v>
      </c>
      <c r="D339" s="3" t="s">
        <v>34</v>
      </c>
      <c r="E339" s="3" t="s">
        <v>25</v>
      </c>
      <c r="F339" s="3" t="s">
        <v>25</v>
      </c>
      <c r="G339" s="3" t="s">
        <v>25</v>
      </c>
      <c r="H339" s="3" t="s">
        <v>25</v>
      </c>
      <c r="I339" s="6">
        <v>44531</v>
      </c>
      <c r="J339" s="4">
        <v>0</v>
      </c>
      <c r="K339" s="4">
        <v>0</v>
      </c>
      <c r="L339" s="4">
        <v>8.94</v>
      </c>
      <c r="M339" s="4">
        <v>8.94</v>
      </c>
      <c r="N339" s="4">
        <v>8.94</v>
      </c>
      <c r="O339" s="4">
        <v>8.94</v>
      </c>
      <c r="P339" s="4">
        <v>4</v>
      </c>
      <c r="Q339" s="3" t="s">
        <v>26</v>
      </c>
      <c r="R339" s="3">
        <v>0</v>
      </c>
      <c r="S339" s="3" t="s">
        <v>240</v>
      </c>
      <c r="T339" s="3" t="s">
        <v>401</v>
      </c>
      <c r="U339" s="3">
        <v>0</v>
      </c>
      <c r="V339" s="3">
        <v>46</v>
      </c>
      <c r="W339" s="3">
        <v>84</v>
      </c>
    </row>
    <row r="340" spans="1:23" ht="11.25" customHeight="1" x14ac:dyDescent="0.3">
      <c r="A340" s="3" t="s">
        <v>21</v>
      </c>
      <c r="B340" s="3" t="s">
        <v>33</v>
      </c>
      <c r="C340" s="3" t="s">
        <v>23</v>
      </c>
      <c r="D340" s="3" t="s">
        <v>34</v>
      </c>
      <c r="E340" s="3" t="s">
        <v>25</v>
      </c>
      <c r="F340" s="3" t="s">
        <v>25</v>
      </c>
      <c r="G340" s="3" t="s">
        <v>25</v>
      </c>
      <c r="H340" s="3" t="s">
        <v>25</v>
      </c>
      <c r="I340" s="6">
        <v>44562</v>
      </c>
      <c r="J340" s="4">
        <v>0</v>
      </c>
      <c r="K340" s="4">
        <v>0</v>
      </c>
      <c r="L340" s="4">
        <v>17.579000000000001</v>
      </c>
      <c r="M340" s="4">
        <v>17.579000000000001</v>
      </c>
      <c r="N340" s="4">
        <v>17.579000000000001</v>
      </c>
      <c r="O340" s="4">
        <v>17.579000000000001</v>
      </c>
      <c r="P340" s="4">
        <v>37</v>
      </c>
      <c r="Q340" s="3" t="s">
        <v>26</v>
      </c>
      <c r="R340" s="3">
        <v>0</v>
      </c>
      <c r="S340" s="3" t="s">
        <v>241</v>
      </c>
      <c r="T340" s="3" t="s">
        <v>402</v>
      </c>
      <c r="U340" s="3">
        <v>0</v>
      </c>
      <c r="V340" s="3">
        <v>46</v>
      </c>
      <c r="W340" s="3">
        <v>84</v>
      </c>
    </row>
    <row r="341" spans="1:23" ht="11.25" customHeight="1" x14ac:dyDescent="0.3">
      <c r="A341" s="3" t="s">
        <v>28</v>
      </c>
      <c r="B341" s="3" t="s">
        <v>33</v>
      </c>
      <c r="C341" s="3" t="s">
        <v>23</v>
      </c>
      <c r="D341" s="3" t="s">
        <v>34</v>
      </c>
      <c r="E341" s="3" t="s">
        <v>25</v>
      </c>
      <c r="F341" s="3" t="s">
        <v>25</v>
      </c>
      <c r="G341" s="3" t="s">
        <v>25</v>
      </c>
      <c r="H341" s="3" t="s">
        <v>25</v>
      </c>
      <c r="I341" s="6">
        <v>44562</v>
      </c>
      <c r="J341" s="4">
        <v>0</v>
      </c>
      <c r="K341" s="4">
        <v>0</v>
      </c>
      <c r="L341" s="4">
        <v>0.4</v>
      </c>
      <c r="M341" s="4">
        <v>0.4</v>
      </c>
      <c r="N341" s="4">
        <v>0.4</v>
      </c>
      <c r="O341" s="4">
        <v>0.4</v>
      </c>
      <c r="P341" s="4">
        <v>4</v>
      </c>
      <c r="Q341" s="3" t="s">
        <v>26</v>
      </c>
      <c r="R341" s="3">
        <v>0</v>
      </c>
      <c r="S341" s="3" t="s">
        <v>241</v>
      </c>
      <c r="T341" s="3" t="s">
        <v>402</v>
      </c>
      <c r="U341" s="3">
        <v>0</v>
      </c>
      <c r="V341" s="3">
        <v>46</v>
      </c>
      <c r="W341" s="3">
        <v>84</v>
      </c>
    </row>
    <row r="342" spans="1:23" ht="11.25" customHeight="1" x14ac:dyDescent="0.3">
      <c r="A342" s="3" t="s">
        <v>21</v>
      </c>
      <c r="B342" s="3" t="s">
        <v>33</v>
      </c>
      <c r="C342" s="3" t="s">
        <v>23</v>
      </c>
      <c r="D342" s="3" t="s">
        <v>34</v>
      </c>
      <c r="E342" s="3" t="s">
        <v>25</v>
      </c>
      <c r="F342" s="3" t="s">
        <v>25</v>
      </c>
      <c r="G342" s="3" t="s">
        <v>25</v>
      </c>
      <c r="H342" s="3" t="s">
        <v>25</v>
      </c>
      <c r="I342" s="6">
        <v>44593</v>
      </c>
      <c r="J342" s="4">
        <v>0</v>
      </c>
      <c r="K342" s="4">
        <v>0</v>
      </c>
      <c r="L342" s="4">
        <v>49.401000000000003</v>
      </c>
      <c r="M342" s="4">
        <v>49.401000000000003</v>
      </c>
      <c r="N342" s="4">
        <v>49.401000000000003</v>
      </c>
      <c r="O342" s="4">
        <v>49.401000000000003</v>
      </c>
      <c r="P342" s="4">
        <v>38</v>
      </c>
      <c r="Q342" s="3" t="s">
        <v>26</v>
      </c>
      <c r="R342" s="3">
        <v>0</v>
      </c>
      <c r="S342" s="3" t="s">
        <v>242</v>
      </c>
      <c r="T342" s="3" t="s">
        <v>403</v>
      </c>
      <c r="U342" s="3">
        <v>0</v>
      </c>
      <c r="V342" s="3">
        <v>46</v>
      </c>
      <c r="W342" s="3">
        <v>84</v>
      </c>
    </row>
    <row r="343" spans="1:23" ht="11.25" customHeight="1" x14ac:dyDescent="0.3">
      <c r="A343" s="3" t="s">
        <v>28</v>
      </c>
      <c r="B343" s="3" t="s">
        <v>33</v>
      </c>
      <c r="C343" s="3" t="s">
        <v>23</v>
      </c>
      <c r="D343" s="3" t="s">
        <v>34</v>
      </c>
      <c r="E343" s="3" t="s">
        <v>25</v>
      </c>
      <c r="F343" s="3" t="s">
        <v>25</v>
      </c>
      <c r="G343" s="3" t="s">
        <v>25</v>
      </c>
      <c r="H343" s="3" t="s">
        <v>25</v>
      </c>
      <c r="I343" s="6">
        <v>44593</v>
      </c>
      <c r="J343" s="4">
        <v>0</v>
      </c>
      <c r="K343" s="4">
        <v>0</v>
      </c>
      <c r="L343" s="4">
        <v>0.82499999999999996</v>
      </c>
      <c r="M343" s="4">
        <v>0.82499999999999996</v>
      </c>
      <c r="N343" s="4">
        <v>0.82499999999999996</v>
      </c>
      <c r="O343" s="4">
        <v>0.82499999999999996</v>
      </c>
      <c r="P343" s="4">
        <v>3</v>
      </c>
      <c r="Q343" s="3" t="s">
        <v>26</v>
      </c>
      <c r="R343" s="3">
        <v>0</v>
      </c>
      <c r="S343" s="3" t="s">
        <v>242</v>
      </c>
      <c r="T343" s="3" t="s">
        <v>403</v>
      </c>
      <c r="U343" s="3">
        <v>0</v>
      </c>
      <c r="V343" s="3">
        <v>46</v>
      </c>
      <c r="W343" s="3">
        <v>84</v>
      </c>
    </row>
    <row r="344" spans="1:23" ht="11.25" customHeight="1" x14ac:dyDescent="0.3">
      <c r="A344" s="3" t="s">
        <v>21</v>
      </c>
      <c r="B344" s="3" t="s">
        <v>33</v>
      </c>
      <c r="C344" s="3" t="s">
        <v>23</v>
      </c>
      <c r="D344" s="3" t="s">
        <v>34</v>
      </c>
      <c r="E344" s="3" t="s">
        <v>25</v>
      </c>
      <c r="F344" s="3" t="s">
        <v>25</v>
      </c>
      <c r="G344" s="3" t="s">
        <v>25</v>
      </c>
      <c r="H344" s="3" t="s">
        <v>25</v>
      </c>
      <c r="I344" s="6">
        <v>44621</v>
      </c>
      <c r="J344" s="4">
        <v>0</v>
      </c>
      <c r="K344" s="4">
        <v>0</v>
      </c>
      <c r="L344" s="4">
        <v>41.225999999999999</v>
      </c>
      <c r="M344" s="4">
        <v>41.225999999999999</v>
      </c>
      <c r="N344" s="4">
        <v>41.225999999999999</v>
      </c>
      <c r="O344" s="4">
        <v>41.225999999999999</v>
      </c>
      <c r="P344" s="4">
        <v>37</v>
      </c>
      <c r="Q344" s="3" t="s">
        <v>26</v>
      </c>
      <c r="R344" s="3">
        <v>0</v>
      </c>
      <c r="S344" s="3" t="s">
        <v>243</v>
      </c>
      <c r="T344" s="3" t="s">
        <v>404</v>
      </c>
      <c r="U344" s="3">
        <v>0</v>
      </c>
      <c r="V344" s="3">
        <v>46</v>
      </c>
      <c r="W344" s="3">
        <v>84</v>
      </c>
    </row>
    <row r="345" spans="1:23" ht="11.25" customHeight="1" x14ac:dyDescent="0.3">
      <c r="A345" s="3" t="s">
        <v>28</v>
      </c>
      <c r="B345" s="3" t="s">
        <v>33</v>
      </c>
      <c r="C345" s="3" t="s">
        <v>23</v>
      </c>
      <c r="D345" s="3" t="s">
        <v>34</v>
      </c>
      <c r="E345" s="3" t="s">
        <v>25</v>
      </c>
      <c r="F345" s="3" t="s">
        <v>25</v>
      </c>
      <c r="G345" s="3" t="s">
        <v>25</v>
      </c>
      <c r="H345" s="3" t="s">
        <v>25</v>
      </c>
      <c r="I345" s="6">
        <v>44621</v>
      </c>
      <c r="J345" s="4">
        <v>0</v>
      </c>
      <c r="K345" s="4">
        <v>0</v>
      </c>
      <c r="L345" s="4">
        <v>1.58</v>
      </c>
      <c r="M345" s="4">
        <v>1.58</v>
      </c>
      <c r="N345" s="4">
        <v>1.58</v>
      </c>
      <c r="O345" s="4">
        <v>1.58</v>
      </c>
      <c r="P345" s="4">
        <v>3</v>
      </c>
      <c r="Q345" s="3" t="s">
        <v>26</v>
      </c>
      <c r="R345" s="3">
        <v>0</v>
      </c>
      <c r="S345" s="3" t="s">
        <v>243</v>
      </c>
      <c r="T345" s="3" t="s">
        <v>404</v>
      </c>
      <c r="U345" s="3">
        <v>0</v>
      </c>
      <c r="V345" s="3">
        <v>46</v>
      </c>
      <c r="W345" s="3">
        <v>84</v>
      </c>
    </row>
    <row r="346" spans="1:23" ht="11.25" customHeight="1" x14ac:dyDescent="0.3">
      <c r="A346" s="3" t="s">
        <v>21</v>
      </c>
      <c r="B346" s="3" t="s">
        <v>33</v>
      </c>
      <c r="C346" s="3" t="s">
        <v>23</v>
      </c>
      <c r="D346" s="3" t="s">
        <v>34</v>
      </c>
      <c r="E346" s="3" t="s">
        <v>25</v>
      </c>
      <c r="F346" s="3" t="s">
        <v>25</v>
      </c>
      <c r="G346" s="3" t="s">
        <v>25</v>
      </c>
      <c r="H346" s="3" t="s">
        <v>25</v>
      </c>
      <c r="I346" s="6">
        <v>44652</v>
      </c>
      <c r="J346" s="4">
        <v>0</v>
      </c>
      <c r="K346" s="4">
        <v>0</v>
      </c>
      <c r="L346" s="4">
        <v>38.97</v>
      </c>
      <c r="M346" s="4">
        <v>38.97</v>
      </c>
      <c r="N346" s="4">
        <v>38.97</v>
      </c>
      <c r="O346" s="4">
        <v>38.97</v>
      </c>
      <c r="P346" s="4">
        <v>38</v>
      </c>
      <c r="Q346" s="3" t="s">
        <v>26</v>
      </c>
      <c r="R346" s="3">
        <v>0</v>
      </c>
      <c r="S346" s="3" t="s">
        <v>244</v>
      </c>
      <c r="T346" s="3" t="s">
        <v>405</v>
      </c>
      <c r="U346" s="3">
        <v>0</v>
      </c>
      <c r="V346" s="3">
        <v>46</v>
      </c>
      <c r="W346" s="3">
        <v>84</v>
      </c>
    </row>
    <row r="347" spans="1:23" ht="11.25" customHeight="1" x14ac:dyDescent="0.3">
      <c r="A347" s="3" t="s">
        <v>28</v>
      </c>
      <c r="B347" s="3" t="s">
        <v>33</v>
      </c>
      <c r="C347" s="3" t="s">
        <v>23</v>
      </c>
      <c r="D347" s="3" t="s">
        <v>34</v>
      </c>
      <c r="E347" s="3" t="s">
        <v>25</v>
      </c>
      <c r="F347" s="3" t="s">
        <v>25</v>
      </c>
      <c r="G347" s="3" t="s">
        <v>25</v>
      </c>
      <c r="H347" s="3" t="s">
        <v>25</v>
      </c>
      <c r="I347" s="6">
        <v>44652</v>
      </c>
      <c r="J347" s="4">
        <v>0</v>
      </c>
      <c r="K347" s="4">
        <v>0</v>
      </c>
      <c r="L347" s="4">
        <v>2.38</v>
      </c>
      <c r="M347" s="4">
        <v>2.38</v>
      </c>
      <c r="N347" s="4">
        <v>2.38</v>
      </c>
      <c r="O347" s="4">
        <v>2.38</v>
      </c>
      <c r="P347" s="4">
        <v>3</v>
      </c>
      <c r="Q347" s="3" t="s">
        <v>26</v>
      </c>
      <c r="R347" s="3">
        <v>0</v>
      </c>
      <c r="S347" s="3" t="s">
        <v>244</v>
      </c>
      <c r="T347" s="3" t="s">
        <v>405</v>
      </c>
      <c r="U347" s="3">
        <v>0</v>
      </c>
      <c r="V347" s="3">
        <v>46</v>
      </c>
      <c r="W347" s="3">
        <v>84</v>
      </c>
    </row>
    <row r="348" spans="1:23" ht="11.25" customHeight="1" x14ac:dyDescent="0.3">
      <c r="A348" s="3" t="s">
        <v>21</v>
      </c>
      <c r="B348" s="3" t="s">
        <v>33</v>
      </c>
      <c r="C348" s="3" t="s">
        <v>23</v>
      </c>
      <c r="D348" s="3" t="s">
        <v>34</v>
      </c>
      <c r="E348" s="3" t="s">
        <v>25</v>
      </c>
      <c r="F348" s="3" t="s">
        <v>25</v>
      </c>
      <c r="G348" s="3" t="s">
        <v>25</v>
      </c>
      <c r="H348" s="3" t="s">
        <v>25</v>
      </c>
      <c r="I348" s="6">
        <v>44682</v>
      </c>
      <c r="J348" s="4">
        <v>0</v>
      </c>
      <c r="K348" s="4">
        <v>0</v>
      </c>
      <c r="L348" s="4">
        <v>22.984999999999999</v>
      </c>
      <c r="M348" s="4">
        <v>22.984999999999999</v>
      </c>
      <c r="N348" s="4">
        <v>22.984999999999999</v>
      </c>
      <c r="O348" s="4">
        <v>22.984999999999999</v>
      </c>
      <c r="P348" s="4">
        <v>40</v>
      </c>
      <c r="Q348" s="3" t="s">
        <v>26</v>
      </c>
      <c r="R348" s="3">
        <v>0</v>
      </c>
      <c r="S348" s="3" t="s">
        <v>245</v>
      </c>
      <c r="T348" s="3" t="s">
        <v>406</v>
      </c>
      <c r="U348" s="3">
        <v>0</v>
      </c>
      <c r="V348" s="3">
        <v>46</v>
      </c>
      <c r="W348" s="3">
        <v>84</v>
      </c>
    </row>
    <row r="349" spans="1:23" ht="11.25" customHeight="1" x14ac:dyDescent="0.3">
      <c r="A349" s="3" t="s">
        <v>28</v>
      </c>
      <c r="B349" s="3" t="s">
        <v>33</v>
      </c>
      <c r="C349" s="3" t="s">
        <v>23</v>
      </c>
      <c r="D349" s="3" t="s">
        <v>34</v>
      </c>
      <c r="E349" s="3" t="s">
        <v>25</v>
      </c>
      <c r="F349" s="3" t="s">
        <v>25</v>
      </c>
      <c r="G349" s="3" t="s">
        <v>25</v>
      </c>
      <c r="H349" s="3" t="s">
        <v>25</v>
      </c>
      <c r="I349" s="6">
        <v>44682</v>
      </c>
      <c r="J349" s="4">
        <v>0</v>
      </c>
      <c r="K349" s="4">
        <v>0</v>
      </c>
      <c r="L349" s="4">
        <v>2.2599999999999998</v>
      </c>
      <c r="M349" s="4">
        <v>2.2599999999999998</v>
      </c>
      <c r="N349" s="4">
        <v>2.2599999999999998</v>
      </c>
      <c r="O349" s="4">
        <v>2.2599999999999998</v>
      </c>
      <c r="P349" s="4">
        <v>3</v>
      </c>
      <c r="Q349" s="3" t="s">
        <v>26</v>
      </c>
      <c r="R349" s="3">
        <v>0</v>
      </c>
      <c r="S349" s="3" t="s">
        <v>245</v>
      </c>
      <c r="T349" s="3" t="s">
        <v>406</v>
      </c>
      <c r="U349" s="3">
        <v>0</v>
      </c>
      <c r="V349" s="3">
        <v>46</v>
      </c>
      <c r="W349" s="3">
        <v>84</v>
      </c>
    </row>
    <row r="350" spans="1:23" ht="11.25" customHeight="1" x14ac:dyDescent="0.3">
      <c r="A350" s="3" t="s">
        <v>21</v>
      </c>
      <c r="B350" s="3" t="s">
        <v>33</v>
      </c>
      <c r="C350" s="3" t="s">
        <v>23</v>
      </c>
      <c r="D350" s="3" t="s">
        <v>34</v>
      </c>
      <c r="E350" s="3" t="s">
        <v>25</v>
      </c>
      <c r="F350" s="3" t="s">
        <v>25</v>
      </c>
      <c r="G350" s="3" t="s">
        <v>25</v>
      </c>
      <c r="H350" s="3" t="s">
        <v>25</v>
      </c>
      <c r="I350" s="6">
        <v>44713</v>
      </c>
      <c r="J350" s="4">
        <v>0</v>
      </c>
      <c r="K350" s="4">
        <v>0</v>
      </c>
      <c r="L350" s="4">
        <v>24.045000000000002</v>
      </c>
      <c r="M350" s="4">
        <v>24.045000000000002</v>
      </c>
      <c r="N350" s="4">
        <v>24.045000000000002</v>
      </c>
      <c r="O350" s="4">
        <v>24.045000000000002</v>
      </c>
      <c r="P350" s="4">
        <v>41</v>
      </c>
      <c r="Q350" s="3" t="s">
        <v>26</v>
      </c>
      <c r="R350" s="3">
        <v>0</v>
      </c>
      <c r="S350" s="3" t="s">
        <v>246</v>
      </c>
      <c r="T350" s="3" t="s">
        <v>407</v>
      </c>
      <c r="U350" s="3">
        <v>0</v>
      </c>
      <c r="V350" s="3">
        <v>46</v>
      </c>
      <c r="W350" s="3">
        <v>84</v>
      </c>
    </row>
    <row r="351" spans="1:23" ht="11.25" customHeight="1" x14ac:dyDescent="0.3">
      <c r="A351" s="3" t="s">
        <v>28</v>
      </c>
      <c r="B351" s="3" t="s">
        <v>33</v>
      </c>
      <c r="C351" s="3" t="s">
        <v>23</v>
      </c>
      <c r="D351" s="3" t="s">
        <v>34</v>
      </c>
      <c r="E351" s="3" t="s">
        <v>25</v>
      </c>
      <c r="F351" s="3" t="s">
        <v>25</v>
      </c>
      <c r="G351" s="3" t="s">
        <v>25</v>
      </c>
      <c r="H351" s="3" t="s">
        <v>25</v>
      </c>
      <c r="I351" s="6">
        <v>44713</v>
      </c>
      <c r="J351" s="4">
        <v>0</v>
      </c>
      <c r="K351" s="4">
        <v>0</v>
      </c>
      <c r="L351" s="4">
        <v>2.9260000000000002</v>
      </c>
      <c r="M351" s="4">
        <v>2.9260000000000002</v>
      </c>
      <c r="N351" s="4">
        <v>2.9260000000000002</v>
      </c>
      <c r="O351" s="4">
        <v>2.9260000000000002</v>
      </c>
      <c r="P351" s="4">
        <v>3</v>
      </c>
      <c r="Q351" s="3" t="s">
        <v>26</v>
      </c>
      <c r="R351" s="3">
        <v>0</v>
      </c>
      <c r="S351" s="3" t="s">
        <v>246</v>
      </c>
      <c r="T351" s="3" t="s">
        <v>407</v>
      </c>
      <c r="U351" s="3">
        <v>0</v>
      </c>
      <c r="V351" s="3">
        <v>46</v>
      </c>
      <c r="W351" s="3">
        <v>84</v>
      </c>
    </row>
    <row r="352" spans="1:23" ht="11.25" customHeight="1" x14ac:dyDescent="0.3">
      <c r="A352" s="3" t="s">
        <v>21</v>
      </c>
      <c r="B352" s="3" t="s">
        <v>33</v>
      </c>
      <c r="C352" s="3" t="s">
        <v>23</v>
      </c>
      <c r="D352" s="3" t="s">
        <v>34</v>
      </c>
      <c r="E352" s="3" t="s">
        <v>25</v>
      </c>
      <c r="F352" s="3" t="s">
        <v>25</v>
      </c>
      <c r="G352" s="3" t="s">
        <v>25</v>
      </c>
      <c r="H352" s="3" t="s">
        <v>25</v>
      </c>
      <c r="I352" s="6">
        <v>44743</v>
      </c>
      <c r="J352" s="4">
        <v>0</v>
      </c>
      <c r="K352" s="4">
        <v>0</v>
      </c>
      <c r="L352" s="4">
        <v>23.27</v>
      </c>
      <c r="M352" s="4">
        <v>23.27</v>
      </c>
      <c r="N352" s="4">
        <v>23.27</v>
      </c>
      <c r="O352" s="4">
        <v>23.27</v>
      </c>
      <c r="P352" s="4">
        <v>42</v>
      </c>
      <c r="Q352" s="3" t="s">
        <v>26</v>
      </c>
      <c r="R352" s="3">
        <v>0</v>
      </c>
      <c r="S352" s="3" t="s">
        <v>247</v>
      </c>
      <c r="T352" s="3" t="s">
        <v>408</v>
      </c>
      <c r="U352" s="3">
        <v>0</v>
      </c>
      <c r="V352" s="3">
        <v>46</v>
      </c>
      <c r="W352" s="3">
        <v>84</v>
      </c>
    </row>
    <row r="353" spans="1:23" ht="11.25" customHeight="1" x14ac:dyDescent="0.3">
      <c r="A353" s="3" t="s">
        <v>28</v>
      </c>
      <c r="B353" s="3" t="s">
        <v>33</v>
      </c>
      <c r="C353" s="3" t="s">
        <v>23</v>
      </c>
      <c r="D353" s="3" t="s">
        <v>34</v>
      </c>
      <c r="E353" s="3" t="s">
        <v>25</v>
      </c>
      <c r="F353" s="3" t="s">
        <v>25</v>
      </c>
      <c r="G353" s="3" t="s">
        <v>25</v>
      </c>
      <c r="H353" s="3" t="s">
        <v>25</v>
      </c>
      <c r="I353" s="6">
        <v>44743</v>
      </c>
      <c r="J353" s="4">
        <v>0</v>
      </c>
      <c r="K353" s="4">
        <v>0</v>
      </c>
      <c r="L353" s="4">
        <v>2.7879999999999998</v>
      </c>
      <c r="M353" s="4">
        <v>2.7879999999999998</v>
      </c>
      <c r="N353" s="4">
        <v>2.7879999999999998</v>
      </c>
      <c r="O353" s="4">
        <v>2.7879999999999998</v>
      </c>
      <c r="P353" s="4">
        <v>3</v>
      </c>
      <c r="Q353" s="3" t="s">
        <v>26</v>
      </c>
      <c r="R353" s="3">
        <v>0</v>
      </c>
      <c r="S353" s="3" t="s">
        <v>247</v>
      </c>
      <c r="T353" s="3" t="s">
        <v>408</v>
      </c>
      <c r="U353" s="3">
        <v>0</v>
      </c>
      <c r="V353" s="3">
        <v>46</v>
      </c>
      <c r="W353" s="3">
        <v>84</v>
      </c>
    </row>
    <row r="354" spans="1:23" ht="11.25" customHeight="1" x14ac:dyDescent="0.3">
      <c r="A354" s="3" t="s">
        <v>55</v>
      </c>
      <c r="B354" s="3" t="s">
        <v>33</v>
      </c>
      <c r="C354" s="3" t="s">
        <v>23</v>
      </c>
      <c r="D354" s="3" t="s">
        <v>34</v>
      </c>
      <c r="E354" s="3" t="s">
        <v>25</v>
      </c>
      <c r="F354" s="3" t="s">
        <v>25</v>
      </c>
      <c r="G354" s="3" t="s">
        <v>25</v>
      </c>
      <c r="H354" s="3" t="s">
        <v>25</v>
      </c>
      <c r="I354" s="6">
        <v>44774</v>
      </c>
      <c r="J354" s="4">
        <v>0</v>
      </c>
      <c r="K354" s="4">
        <v>0</v>
      </c>
      <c r="L354" s="4">
        <v>23.27</v>
      </c>
      <c r="M354" s="4">
        <v>23.27</v>
      </c>
      <c r="N354" s="4">
        <v>23.27</v>
      </c>
      <c r="O354" s="4">
        <v>23.27</v>
      </c>
      <c r="P354" s="4">
        <v>42</v>
      </c>
      <c r="Q354" s="3" t="s">
        <v>26</v>
      </c>
      <c r="R354" s="3">
        <v>0</v>
      </c>
      <c r="S354" s="3" t="s">
        <v>248</v>
      </c>
      <c r="T354" s="3" t="s">
        <v>409</v>
      </c>
      <c r="U354" s="3">
        <v>0</v>
      </c>
      <c r="V354" s="3">
        <v>46</v>
      </c>
      <c r="W354" s="3">
        <v>84</v>
      </c>
    </row>
    <row r="355" spans="1:23" ht="11.25" customHeight="1" x14ac:dyDescent="0.3">
      <c r="A355" s="3" t="s">
        <v>55</v>
      </c>
      <c r="B355" s="3" t="s">
        <v>33</v>
      </c>
      <c r="C355" s="3" t="s">
        <v>23</v>
      </c>
      <c r="D355" s="3" t="s">
        <v>34</v>
      </c>
      <c r="E355" s="3" t="s">
        <v>25</v>
      </c>
      <c r="F355" s="3" t="s">
        <v>25</v>
      </c>
      <c r="G355" s="3" t="s">
        <v>25</v>
      </c>
      <c r="H355" s="3" t="s">
        <v>25</v>
      </c>
      <c r="I355" s="6">
        <v>44774</v>
      </c>
      <c r="J355" s="4">
        <v>0</v>
      </c>
      <c r="K355" s="4">
        <v>0</v>
      </c>
      <c r="L355" s="4">
        <v>2.7879999999999998</v>
      </c>
      <c r="M355" s="4">
        <v>2.7879999999999998</v>
      </c>
      <c r="N355" s="4">
        <v>2.7879999999999998</v>
      </c>
      <c r="O355" s="4">
        <v>2.7879999999999998</v>
      </c>
      <c r="P355" s="4">
        <v>3</v>
      </c>
      <c r="Q355" s="3" t="s">
        <v>26</v>
      </c>
      <c r="R355" s="3">
        <v>0</v>
      </c>
      <c r="S355" s="3" t="s">
        <v>248</v>
      </c>
      <c r="T355" s="3" t="s">
        <v>409</v>
      </c>
      <c r="U355" s="3">
        <v>0</v>
      </c>
      <c r="V355" s="3">
        <v>46</v>
      </c>
      <c r="W355" s="3">
        <v>84</v>
      </c>
    </row>
    <row r="356" spans="1:23" ht="11.25" customHeight="1" x14ac:dyDescent="0.3">
      <c r="A356" s="3" t="s">
        <v>21</v>
      </c>
      <c r="B356" s="3" t="s">
        <v>33</v>
      </c>
      <c r="C356" s="3" t="s">
        <v>23</v>
      </c>
      <c r="D356" s="3" t="s">
        <v>44</v>
      </c>
      <c r="E356" s="3" t="s">
        <v>25</v>
      </c>
      <c r="F356" s="3" t="s">
        <v>25</v>
      </c>
      <c r="G356" s="3" t="s">
        <v>25</v>
      </c>
      <c r="H356" s="3" t="s">
        <v>25</v>
      </c>
      <c r="I356" s="6">
        <v>44440</v>
      </c>
      <c r="J356" s="4">
        <v>0</v>
      </c>
      <c r="K356" s="4">
        <v>0</v>
      </c>
      <c r="L356" s="4">
        <v>22.029</v>
      </c>
      <c r="M356" s="4">
        <v>22.029</v>
      </c>
      <c r="N356" s="4">
        <v>22.029</v>
      </c>
      <c r="O356" s="4">
        <v>22.029</v>
      </c>
      <c r="P356" s="4">
        <v>48</v>
      </c>
      <c r="Q356" s="3" t="s">
        <v>26</v>
      </c>
      <c r="R356" s="3">
        <v>0</v>
      </c>
      <c r="S356" s="3" t="s">
        <v>237</v>
      </c>
      <c r="T356" s="3" t="s">
        <v>398</v>
      </c>
      <c r="U356" s="3">
        <v>0</v>
      </c>
      <c r="V356" s="3">
        <v>46</v>
      </c>
      <c r="W356" s="3">
        <v>84</v>
      </c>
    </row>
    <row r="357" spans="1:23" ht="11.25" customHeight="1" x14ac:dyDescent="0.3">
      <c r="A357" s="3" t="s">
        <v>21</v>
      </c>
      <c r="B357" s="3" t="s">
        <v>33</v>
      </c>
      <c r="C357" s="3" t="s">
        <v>23</v>
      </c>
      <c r="D357" s="3" t="s">
        <v>44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44470</v>
      </c>
      <c r="J357" s="4">
        <v>0</v>
      </c>
      <c r="K357" s="4">
        <v>0</v>
      </c>
      <c r="L357" s="4">
        <v>25.126999999999999</v>
      </c>
      <c r="M357" s="4">
        <v>25.126999999999999</v>
      </c>
      <c r="N357" s="4">
        <v>25.126999999999999</v>
      </c>
      <c r="O357" s="4">
        <v>25.126999999999999</v>
      </c>
      <c r="P357" s="4">
        <v>48</v>
      </c>
      <c r="Q357" s="3" t="s">
        <v>26</v>
      </c>
      <c r="R357" s="3">
        <v>0</v>
      </c>
      <c r="S357" s="3" t="s">
        <v>238</v>
      </c>
      <c r="T357" s="3" t="s">
        <v>399</v>
      </c>
      <c r="U357" s="3">
        <v>0</v>
      </c>
      <c r="V357" s="3">
        <v>46</v>
      </c>
      <c r="W357" s="3">
        <v>84</v>
      </c>
    </row>
    <row r="358" spans="1:23" ht="11.25" customHeight="1" x14ac:dyDescent="0.3">
      <c r="A358" s="3" t="s">
        <v>21</v>
      </c>
      <c r="B358" s="3" t="s">
        <v>33</v>
      </c>
      <c r="C358" s="3" t="s">
        <v>23</v>
      </c>
      <c r="D358" s="3" t="s">
        <v>44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44501</v>
      </c>
      <c r="J358" s="4">
        <v>0</v>
      </c>
      <c r="K358" s="4">
        <v>0</v>
      </c>
      <c r="L358" s="4">
        <v>27.48</v>
      </c>
      <c r="M358" s="4">
        <v>27.48</v>
      </c>
      <c r="N358" s="4">
        <v>27.48</v>
      </c>
      <c r="O358" s="4">
        <v>27.48</v>
      </c>
      <c r="P358" s="4">
        <v>48</v>
      </c>
      <c r="Q358" s="3" t="s">
        <v>26</v>
      </c>
      <c r="R358" s="3">
        <v>0</v>
      </c>
      <c r="S358" s="3" t="s">
        <v>239</v>
      </c>
      <c r="T358" s="3" t="s">
        <v>400</v>
      </c>
      <c r="U358" s="3">
        <v>0</v>
      </c>
      <c r="V358" s="3">
        <v>46</v>
      </c>
      <c r="W358" s="3">
        <v>84</v>
      </c>
    </row>
    <row r="359" spans="1:23" ht="11.25" customHeight="1" x14ac:dyDescent="0.3">
      <c r="A359" s="3" t="s">
        <v>21</v>
      </c>
      <c r="B359" s="3" t="s">
        <v>33</v>
      </c>
      <c r="C359" s="3" t="s">
        <v>23</v>
      </c>
      <c r="D359" s="3" t="s">
        <v>44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44531</v>
      </c>
      <c r="J359" s="4">
        <v>0</v>
      </c>
      <c r="K359" s="4">
        <v>0</v>
      </c>
      <c r="L359" s="4">
        <v>33.453000000000003</v>
      </c>
      <c r="M359" s="4">
        <v>33.453000000000003</v>
      </c>
      <c r="N359" s="4">
        <v>33.453000000000003</v>
      </c>
      <c r="O359" s="4">
        <v>33.453000000000003</v>
      </c>
      <c r="P359" s="4">
        <v>48</v>
      </c>
      <c r="Q359" s="3" t="s">
        <v>26</v>
      </c>
      <c r="R359" s="3">
        <v>0</v>
      </c>
      <c r="S359" s="3" t="s">
        <v>240</v>
      </c>
      <c r="T359" s="3" t="s">
        <v>401</v>
      </c>
      <c r="U359" s="3">
        <v>0</v>
      </c>
      <c r="V359" s="3">
        <v>46</v>
      </c>
      <c r="W359" s="3">
        <v>84</v>
      </c>
    </row>
    <row r="360" spans="1:23" ht="11.25" customHeight="1" x14ac:dyDescent="0.3">
      <c r="A360" s="3" t="s">
        <v>21</v>
      </c>
      <c r="B360" s="3" t="s">
        <v>33</v>
      </c>
      <c r="C360" s="3" t="s">
        <v>23</v>
      </c>
      <c r="D360" s="3" t="s">
        <v>44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44562</v>
      </c>
      <c r="J360" s="4">
        <v>0</v>
      </c>
      <c r="K360" s="4">
        <v>0</v>
      </c>
      <c r="L360" s="4">
        <v>23.474</v>
      </c>
      <c r="M360" s="4">
        <v>23.474</v>
      </c>
      <c r="N360" s="4">
        <v>23.474</v>
      </c>
      <c r="O360" s="4">
        <v>23.474</v>
      </c>
      <c r="P360" s="4">
        <v>48</v>
      </c>
      <c r="Q360" s="3" t="s">
        <v>26</v>
      </c>
      <c r="R360" s="3">
        <v>0</v>
      </c>
      <c r="S360" s="3" t="s">
        <v>241</v>
      </c>
      <c r="T360" s="3" t="s">
        <v>402</v>
      </c>
      <c r="U360" s="3">
        <v>0</v>
      </c>
      <c r="V360" s="3">
        <v>46</v>
      </c>
      <c r="W360" s="3">
        <v>84</v>
      </c>
    </row>
    <row r="361" spans="1:23" ht="11.25" customHeight="1" x14ac:dyDescent="0.3">
      <c r="A361" s="3" t="s">
        <v>21</v>
      </c>
      <c r="B361" s="3" t="s">
        <v>33</v>
      </c>
      <c r="C361" s="3" t="s">
        <v>23</v>
      </c>
      <c r="D361" s="3" t="s">
        <v>44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44593</v>
      </c>
      <c r="J361" s="4">
        <v>0</v>
      </c>
      <c r="K361" s="4">
        <v>0</v>
      </c>
      <c r="L361" s="4">
        <v>35.281999999999996</v>
      </c>
      <c r="M361" s="4">
        <v>35.281999999999996</v>
      </c>
      <c r="N361" s="4">
        <v>35.281999999999996</v>
      </c>
      <c r="O361" s="4">
        <v>35.281999999999996</v>
      </c>
      <c r="P361" s="4">
        <v>48</v>
      </c>
      <c r="Q361" s="3" t="s">
        <v>26</v>
      </c>
      <c r="R361" s="3">
        <v>0</v>
      </c>
      <c r="S361" s="3" t="s">
        <v>242</v>
      </c>
      <c r="T361" s="3" t="s">
        <v>403</v>
      </c>
      <c r="U361" s="3">
        <v>0</v>
      </c>
      <c r="V361" s="3">
        <v>46</v>
      </c>
      <c r="W361" s="3">
        <v>84</v>
      </c>
    </row>
    <row r="362" spans="1:23" ht="11.25" customHeight="1" x14ac:dyDescent="0.3">
      <c r="A362" s="3" t="s">
        <v>21</v>
      </c>
      <c r="B362" s="3" t="s">
        <v>33</v>
      </c>
      <c r="C362" s="3" t="s">
        <v>23</v>
      </c>
      <c r="D362" s="3" t="s">
        <v>44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44621</v>
      </c>
      <c r="J362" s="4">
        <v>0</v>
      </c>
      <c r="K362" s="4">
        <v>0</v>
      </c>
      <c r="L362" s="4">
        <v>44.542000000000002</v>
      </c>
      <c r="M362" s="4">
        <v>44.542000000000002</v>
      </c>
      <c r="N362" s="4">
        <v>44.542000000000002</v>
      </c>
      <c r="O362" s="4">
        <v>44.542000000000002</v>
      </c>
      <c r="P362" s="4">
        <v>49</v>
      </c>
      <c r="Q362" s="3" t="s">
        <v>26</v>
      </c>
      <c r="R362" s="3">
        <v>0</v>
      </c>
      <c r="S362" s="3" t="s">
        <v>243</v>
      </c>
      <c r="T362" s="3" t="s">
        <v>404</v>
      </c>
      <c r="U362" s="3">
        <v>0</v>
      </c>
      <c r="V362" s="3">
        <v>46</v>
      </c>
      <c r="W362" s="3">
        <v>84</v>
      </c>
    </row>
    <row r="363" spans="1:23" ht="11.25" customHeight="1" x14ac:dyDescent="0.3">
      <c r="A363" s="3" t="s">
        <v>21</v>
      </c>
      <c r="B363" s="3" t="s">
        <v>33</v>
      </c>
      <c r="C363" s="3" t="s">
        <v>23</v>
      </c>
      <c r="D363" s="3" t="s">
        <v>44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44652</v>
      </c>
      <c r="J363" s="4">
        <v>0</v>
      </c>
      <c r="K363" s="4">
        <v>0</v>
      </c>
      <c r="L363" s="4">
        <v>31.946999999999999</v>
      </c>
      <c r="M363" s="4">
        <v>31.946999999999999</v>
      </c>
      <c r="N363" s="4">
        <v>31.946999999999999</v>
      </c>
      <c r="O363" s="4">
        <v>31.946999999999999</v>
      </c>
      <c r="P363" s="4">
        <v>50</v>
      </c>
      <c r="Q363" s="3" t="s">
        <v>26</v>
      </c>
      <c r="R363" s="3">
        <v>0</v>
      </c>
      <c r="S363" s="3" t="s">
        <v>244</v>
      </c>
      <c r="T363" s="3" t="s">
        <v>405</v>
      </c>
      <c r="U363" s="3">
        <v>0</v>
      </c>
      <c r="V363" s="3">
        <v>46</v>
      </c>
      <c r="W363" s="3">
        <v>84</v>
      </c>
    </row>
    <row r="364" spans="1:23" ht="11.25" customHeight="1" x14ac:dyDescent="0.3">
      <c r="A364" s="3" t="s">
        <v>21</v>
      </c>
      <c r="B364" s="3" t="s">
        <v>33</v>
      </c>
      <c r="C364" s="3" t="s">
        <v>23</v>
      </c>
      <c r="D364" s="3" t="s">
        <v>44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44682</v>
      </c>
      <c r="J364" s="4">
        <v>0</v>
      </c>
      <c r="K364" s="4">
        <v>0</v>
      </c>
      <c r="L364" s="4">
        <v>25.387</v>
      </c>
      <c r="M364" s="4">
        <v>25.387</v>
      </c>
      <c r="N364" s="4">
        <v>25.387</v>
      </c>
      <c r="O364" s="4">
        <v>25.387</v>
      </c>
      <c r="P364" s="4">
        <v>50</v>
      </c>
      <c r="Q364" s="3" t="s">
        <v>26</v>
      </c>
      <c r="R364" s="3">
        <v>0</v>
      </c>
      <c r="S364" s="3" t="s">
        <v>245</v>
      </c>
      <c r="T364" s="3" t="s">
        <v>406</v>
      </c>
      <c r="U364" s="3">
        <v>0</v>
      </c>
      <c r="V364" s="3">
        <v>46</v>
      </c>
      <c r="W364" s="3">
        <v>84</v>
      </c>
    </row>
    <row r="365" spans="1:23" ht="11.25" customHeight="1" x14ac:dyDescent="0.3">
      <c r="A365" s="3" t="s">
        <v>21</v>
      </c>
      <c r="B365" s="3" t="s">
        <v>33</v>
      </c>
      <c r="C365" s="3" t="s">
        <v>23</v>
      </c>
      <c r="D365" s="3" t="s">
        <v>44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44713</v>
      </c>
      <c r="J365" s="4">
        <v>0</v>
      </c>
      <c r="K365" s="4">
        <v>0</v>
      </c>
      <c r="L365" s="4">
        <v>26.954000000000001</v>
      </c>
      <c r="M365" s="4">
        <v>26.954000000000001</v>
      </c>
      <c r="N365" s="4">
        <v>26.954000000000001</v>
      </c>
      <c r="O365" s="4">
        <v>26.954000000000001</v>
      </c>
      <c r="P365" s="4">
        <v>50</v>
      </c>
      <c r="Q365" s="3" t="s">
        <v>26</v>
      </c>
      <c r="R365" s="3">
        <v>0</v>
      </c>
      <c r="S365" s="3" t="s">
        <v>246</v>
      </c>
      <c r="T365" s="3" t="s">
        <v>407</v>
      </c>
      <c r="U365" s="3">
        <v>0</v>
      </c>
      <c r="V365" s="3">
        <v>46</v>
      </c>
      <c r="W365" s="3">
        <v>84</v>
      </c>
    </row>
    <row r="366" spans="1:23" ht="11.25" customHeight="1" x14ac:dyDescent="0.3">
      <c r="A366" s="3" t="s">
        <v>21</v>
      </c>
      <c r="B366" s="3" t="s">
        <v>33</v>
      </c>
      <c r="C366" s="3" t="s">
        <v>23</v>
      </c>
      <c r="D366" s="3" t="s">
        <v>44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44743</v>
      </c>
      <c r="J366" s="4">
        <v>0</v>
      </c>
      <c r="K366" s="4">
        <v>0</v>
      </c>
      <c r="L366" s="4">
        <v>26.992999999999999</v>
      </c>
      <c r="M366" s="4">
        <v>26.992999999999999</v>
      </c>
      <c r="N366" s="4">
        <v>26.992999999999999</v>
      </c>
      <c r="O366" s="4">
        <v>26.992999999999999</v>
      </c>
      <c r="P366" s="4">
        <v>51</v>
      </c>
      <c r="Q366" s="3" t="s">
        <v>26</v>
      </c>
      <c r="R366" s="3">
        <v>0</v>
      </c>
      <c r="S366" s="3" t="s">
        <v>247</v>
      </c>
      <c r="T366" s="3" t="s">
        <v>408</v>
      </c>
      <c r="U366" s="3">
        <v>0</v>
      </c>
      <c r="V366" s="3">
        <v>46</v>
      </c>
      <c r="W366" s="3">
        <v>84</v>
      </c>
    </row>
    <row r="367" spans="1:23" ht="11.25" customHeight="1" x14ac:dyDescent="0.3">
      <c r="A367" s="3" t="s">
        <v>55</v>
      </c>
      <c r="B367" s="3" t="s">
        <v>33</v>
      </c>
      <c r="C367" s="3" t="s">
        <v>23</v>
      </c>
      <c r="D367" s="3" t="s">
        <v>44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44774</v>
      </c>
      <c r="J367" s="4">
        <v>0</v>
      </c>
      <c r="K367" s="4">
        <v>0</v>
      </c>
      <c r="L367" s="4">
        <v>26.992999999999999</v>
      </c>
      <c r="M367" s="4">
        <v>26.992999999999999</v>
      </c>
      <c r="N367" s="4">
        <v>26.992999999999999</v>
      </c>
      <c r="O367" s="4">
        <v>26.992999999999999</v>
      </c>
      <c r="P367" s="4">
        <v>51</v>
      </c>
      <c r="Q367" s="3" t="s">
        <v>26</v>
      </c>
      <c r="R367" s="3">
        <v>0</v>
      </c>
      <c r="S367" s="3" t="s">
        <v>248</v>
      </c>
      <c r="T367" s="3" t="s">
        <v>409</v>
      </c>
      <c r="U367" s="3">
        <v>0</v>
      </c>
      <c r="V367" s="3">
        <v>46</v>
      </c>
      <c r="W367" s="3">
        <v>84</v>
      </c>
    </row>
    <row r="368" spans="1:23" ht="11.25" customHeight="1" x14ac:dyDescent="0.3">
      <c r="A368" s="3" t="s">
        <v>21</v>
      </c>
      <c r="B368" s="3" t="s">
        <v>33</v>
      </c>
      <c r="C368" s="3" t="s">
        <v>23</v>
      </c>
      <c r="D368" s="3" t="s">
        <v>48</v>
      </c>
      <c r="E368" s="3" t="s">
        <v>49</v>
      </c>
      <c r="F368" s="3" t="s">
        <v>25</v>
      </c>
      <c r="G368" s="3" t="s">
        <v>25</v>
      </c>
      <c r="H368" s="3" t="s">
        <v>25</v>
      </c>
      <c r="I368" s="6">
        <v>44440</v>
      </c>
      <c r="J368" s="4">
        <v>0</v>
      </c>
      <c r="K368" s="4">
        <v>0</v>
      </c>
      <c r="L368" s="4">
        <v>19.818999999999999</v>
      </c>
      <c r="M368" s="4">
        <v>18.629859999999997</v>
      </c>
      <c r="N368" s="4">
        <v>19.818999999999999</v>
      </c>
      <c r="O368" s="4">
        <v>18.629859999999997</v>
      </c>
      <c r="P368" s="4">
        <v>4</v>
      </c>
      <c r="Q368" s="3" t="s">
        <v>26</v>
      </c>
      <c r="R368" s="3">
        <v>0</v>
      </c>
      <c r="S368" s="3" t="s">
        <v>237</v>
      </c>
      <c r="T368" s="3" t="s">
        <v>398</v>
      </c>
      <c r="U368" s="3">
        <v>0</v>
      </c>
      <c r="V368" s="3">
        <v>46</v>
      </c>
      <c r="W368" s="3">
        <v>84</v>
      </c>
    </row>
    <row r="369" spans="1:23" ht="11.25" customHeight="1" x14ac:dyDescent="0.3">
      <c r="A369" s="3" t="s">
        <v>21</v>
      </c>
      <c r="B369" s="3" t="s">
        <v>33</v>
      </c>
      <c r="C369" s="3" t="s">
        <v>23</v>
      </c>
      <c r="D369" s="3" t="s">
        <v>48</v>
      </c>
      <c r="E369" s="3" t="s">
        <v>49</v>
      </c>
      <c r="F369" s="3" t="s">
        <v>25</v>
      </c>
      <c r="G369" s="3" t="s">
        <v>25</v>
      </c>
      <c r="H369" s="3" t="s">
        <v>25</v>
      </c>
      <c r="I369" s="6">
        <v>44470</v>
      </c>
      <c r="J369" s="4">
        <v>0</v>
      </c>
      <c r="K369" s="4">
        <v>0</v>
      </c>
      <c r="L369" s="4">
        <v>22.408999999999999</v>
      </c>
      <c r="M369" s="4">
        <v>21.064459999999997</v>
      </c>
      <c r="N369" s="4">
        <v>22.408999999999999</v>
      </c>
      <c r="O369" s="4">
        <v>21.064459999999997</v>
      </c>
      <c r="P369" s="4">
        <v>4</v>
      </c>
      <c r="Q369" s="3" t="s">
        <v>26</v>
      </c>
      <c r="R369" s="3">
        <v>0</v>
      </c>
      <c r="S369" s="3" t="s">
        <v>238</v>
      </c>
      <c r="T369" s="3" t="s">
        <v>399</v>
      </c>
      <c r="U369" s="3">
        <v>0</v>
      </c>
      <c r="V369" s="3">
        <v>46</v>
      </c>
      <c r="W369" s="3">
        <v>84</v>
      </c>
    </row>
    <row r="370" spans="1:23" ht="11.25" customHeight="1" x14ac:dyDescent="0.3">
      <c r="A370" s="3" t="s">
        <v>21</v>
      </c>
      <c r="B370" s="3" t="s">
        <v>33</v>
      </c>
      <c r="C370" s="3" t="s">
        <v>23</v>
      </c>
      <c r="D370" s="3" t="s">
        <v>48</v>
      </c>
      <c r="E370" s="3" t="s">
        <v>49</v>
      </c>
      <c r="F370" s="3" t="s">
        <v>25</v>
      </c>
      <c r="G370" s="3" t="s">
        <v>25</v>
      </c>
      <c r="H370" s="3" t="s">
        <v>25</v>
      </c>
      <c r="I370" s="6">
        <v>44501</v>
      </c>
      <c r="J370" s="4">
        <v>0</v>
      </c>
      <c r="K370" s="4">
        <v>0</v>
      </c>
      <c r="L370" s="4">
        <v>20.324000000000002</v>
      </c>
      <c r="M370" s="4">
        <v>19.104559999999999</v>
      </c>
      <c r="N370" s="4">
        <v>20.324000000000002</v>
      </c>
      <c r="O370" s="4">
        <v>19.104559999999999</v>
      </c>
      <c r="P370" s="4">
        <v>4</v>
      </c>
      <c r="Q370" s="3" t="s">
        <v>26</v>
      </c>
      <c r="R370" s="3">
        <v>0</v>
      </c>
      <c r="S370" s="3" t="s">
        <v>239</v>
      </c>
      <c r="T370" s="3" t="s">
        <v>400</v>
      </c>
      <c r="U370" s="3">
        <v>0</v>
      </c>
      <c r="V370" s="3">
        <v>46</v>
      </c>
      <c r="W370" s="3">
        <v>84</v>
      </c>
    </row>
    <row r="371" spans="1:23" ht="11.25" customHeight="1" x14ac:dyDescent="0.3">
      <c r="A371" s="3" t="s">
        <v>21</v>
      </c>
      <c r="B371" s="3" t="s">
        <v>33</v>
      </c>
      <c r="C371" s="3" t="s">
        <v>23</v>
      </c>
      <c r="D371" s="3" t="s">
        <v>48</v>
      </c>
      <c r="E371" s="3" t="s">
        <v>49</v>
      </c>
      <c r="F371" s="3" t="s">
        <v>25</v>
      </c>
      <c r="G371" s="3" t="s">
        <v>25</v>
      </c>
      <c r="H371" s="3" t="s">
        <v>25</v>
      </c>
      <c r="I371" s="6">
        <v>44531</v>
      </c>
      <c r="J371" s="4">
        <v>0</v>
      </c>
      <c r="K371" s="4">
        <v>0</v>
      </c>
      <c r="L371" s="4">
        <v>22.574000000000002</v>
      </c>
      <c r="M371" s="4">
        <v>21.219560000000001</v>
      </c>
      <c r="N371" s="4">
        <v>22.574000000000002</v>
      </c>
      <c r="O371" s="4">
        <v>21.219560000000001</v>
      </c>
      <c r="P371" s="4">
        <v>4</v>
      </c>
      <c r="Q371" s="3" t="s">
        <v>26</v>
      </c>
      <c r="R371" s="3">
        <v>0</v>
      </c>
      <c r="S371" s="3" t="s">
        <v>240</v>
      </c>
      <c r="T371" s="3" t="s">
        <v>401</v>
      </c>
      <c r="U371" s="3">
        <v>0</v>
      </c>
      <c r="V371" s="3">
        <v>46</v>
      </c>
      <c r="W371" s="3">
        <v>84</v>
      </c>
    </row>
    <row r="372" spans="1:23" ht="11.25" customHeight="1" x14ac:dyDescent="0.3">
      <c r="A372" s="3" t="s">
        <v>21</v>
      </c>
      <c r="B372" s="3" t="s">
        <v>33</v>
      </c>
      <c r="C372" s="3" t="s">
        <v>23</v>
      </c>
      <c r="D372" s="3" t="s">
        <v>48</v>
      </c>
      <c r="E372" s="3" t="s">
        <v>49</v>
      </c>
      <c r="F372" s="3" t="s">
        <v>25</v>
      </c>
      <c r="G372" s="3" t="s">
        <v>25</v>
      </c>
      <c r="H372" s="3" t="s">
        <v>25</v>
      </c>
      <c r="I372" s="6">
        <v>44562</v>
      </c>
      <c r="J372" s="4">
        <v>0</v>
      </c>
      <c r="K372" s="4">
        <v>0</v>
      </c>
      <c r="L372" s="4">
        <v>17.370999999999999</v>
      </c>
      <c r="M372" s="4">
        <v>16.32874</v>
      </c>
      <c r="N372" s="4">
        <v>17.370999999999999</v>
      </c>
      <c r="O372" s="4">
        <v>16.32874</v>
      </c>
      <c r="P372" s="4">
        <v>4</v>
      </c>
      <c r="Q372" s="3" t="s">
        <v>26</v>
      </c>
      <c r="R372" s="3">
        <v>0</v>
      </c>
      <c r="S372" s="3" t="s">
        <v>241</v>
      </c>
      <c r="T372" s="3" t="s">
        <v>402</v>
      </c>
      <c r="U372" s="3">
        <v>0</v>
      </c>
      <c r="V372" s="3">
        <v>46</v>
      </c>
      <c r="W372" s="3">
        <v>84</v>
      </c>
    </row>
    <row r="373" spans="1:23" ht="11.25" customHeight="1" x14ac:dyDescent="0.3">
      <c r="A373" s="3" t="s">
        <v>21</v>
      </c>
      <c r="B373" s="3" t="s">
        <v>33</v>
      </c>
      <c r="C373" s="3" t="s">
        <v>23</v>
      </c>
      <c r="D373" s="3" t="s">
        <v>48</v>
      </c>
      <c r="E373" s="3" t="s">
        <v>49</v>
      </c>
      <c r="F373" s="3" t="s">
        <v>25</v>
      </c>
      <c r="G373" s="3" t="s">
        <v>25</v>
      </c>
      <c r="H373" s="3" t="s">
        <v>25</v>
      </c>
      <c r="I373" s="6">
        <v>44593</v>
      </c>
      <c r="J373" s="4">
        <v>0</v>
      </c>
      <c r="K373" s="4">
        <v>0</v>
      </c>
      <c r="L373" s="4">
        <v>20.225000000000001</v>
      </c>
      <c r="M373" s="4">
        <v>19.011500000000002</v>
      </c>
      <c r="N373" s="4">
        <v>20.225000000000001</v>
      </c>
      <c r="O373" s="4">
        <v>19.011500000000002</v>
      </c>
      <c r="P373" s="4">
        <v>4</v>
      </c>
      <c r="Q373" s="3" t="s">
        <v>26</v>
      </c>
      <c r="R373" s="3">
        <v>0</v>
      </c>
      <c r="S373" s="3" t="s">
        <v>242</v>
      </c>
      <c r="T373" s="3" t="s">
        <v>403</v>
      </c>
      <c r="U373" s="3">
        <v>0</v>
      </c>
      <c r="V373" s="3">
        <v>46</v>
      </c>
      <c r="W373" s="3">
        <v>84</v>
      </c>
    </row>
    <row r="374" spans="1:23" ht="11.25" customHeight="1" x14ac:dyDescent="0.3">
      <c r="A374" s="3" t="s">
        <v>21</v>
      </c>
      <c r="B374" s="3" t="s">
        <v>33</v>
      </c>
      <c r="C374" s="3" t="s">
        <v>23</v>
      </c>
      <c r="D374" s="3" t="s">
        <v>48</v>
      </c>
      <c r="E374" s="3" t="s">
        <v>49</v>
      </c>
      <c r="F374" s="3" t="s">
        <v>25</v>
      </c>
      <c r="G374" s="3" t="s">
        <v>25</v>
      </c>
      <c r="H374" s="3" t="s">
        <v>25</v>
      </c>
      <c r="I374" s="6">
        <v>44621</v>
      </c>
      <c r="J374" s="4">
        <v>0</v>
      </c>
      <c r="K374" s="4">
        <v>0</v>
      </c>
      <c r="L374" s="4">
        <v>17.375</v>
      </c>
      <c r="M374" s="4">
        <v>16.3325</v>
      </c>
      <c r="N374" s="4">
        <v>17.375</v>
      </c>
      <c r="O374" s="4">
        <v>16.3325</v>
      </c>
      <c r="P374" s="4">
        <v>4</v>
      </c>
      <c r="Q374" s="3" t="s">
        <v>26</v>
      </c>
      <c r="R374" s="3">
        <v>0</v>
      </c>
      <c r="S374" s="3" t="s">
        <v>243</v>
      </c>
      <c r="T374" s="3" t="s">
        <v>404</v>
      </c>
      <c r="U374" s="3">
        <v>0</v>
      </c>
      <c r="V374" s="3">
        <v>46</v>
      </c>
      <c r="W374" s="3">
        <v>84</v>
      </c>
    </row>
    <row r="375" spans="1:23" ht="11.25" customHeight="1" x14ac:dyDescent="0.3">
      <c r="A375" s="3" t="s">
        <v>21</v>
      </c>
      <c r="B375" s="3" t="s">
        <v>33</v>
      </c>
      <c r="C375" s="3" t="s">
        <v>23</v>
      </c>
      <c r="D375" s="3" t="s">
        <v>48</v>
      </c>
      <c r="E375" s="3" t="s">
        <v>49</v>
      </c>
      <c r="F375" s="3" t="s">
        <v>25</v>
      </c>
      <c r="G375" s="3" t="s">
        <v>25</v>
      </c>
      <c r="H375" s="3" t="s">
        <v>25</v>
      </c>
      <c r="I375" s="6">
        <v>44652</v>
      </c>
      <c r="J375" s="4">
        <v>0</v>
      </c>
      <c r="K375" s="4">
        <v>0</v>
      </c>
      <c r="L375" s="4">
        <v>19.263999999999999</v>
      </c>
      <c r="M375" s="4">
        <v>18.108160000000002</v>
      </c>
      <c r="N375" s="4">
        <v>19.263999999999999</v>
      </c>
      <c r="O375" s="4">
        <v>18.108160000000002</v>
      </c>
      <c r="P375" s="4">
        <v>4</v>
      </c>
      <c r="Q375" s="3" t="s">
        <v>26</v>
      </c>
      <c r="R375" s="3">
        <v>0</v>
      </c>
      <c r="S375" s="3" t="s">
        <v>244</v>
      </c>
      <c r="T375" s="3" t="s">
        <v>405</v>
      </c>
      <c r="U375" s="3">
        <v>0</v>
      </c>
      <c r="V375" s="3">
        <v>46</v>
      </c>
      <c r="W375" s="3">
        <v>84</v>
      </c>
    </row>
    <row r="376" spans="1:23" ht="11.25" customHeight="1" x14ac:dyDescent="0.3">
      <c r="A376" s="3" t="s">
        <v>21</v>
      </c>
      <c r="B376" s="3" t="s">
        <v>33</v>
      </c>
      <c r="C376" s="3" t="s">
        <v>23</v>
      </c>
      <c r="D376" s="3" t="s">
        <v>48</v>
      </c>
      <c r="E376" s="3" t="s">
        <v>49</v>
      </c>
      <c r="F376" s="3" t="s">
        <v>25</v>
      </c>
      <c r="G376" s="3" t="s">
        <v>25</v>
      </c>
      <c r="H376" s="3" t="s">
        <v>25</v>
      </c>
      <c r="I376" s="6">
        <v>44682</v>
      </c>
      <c r="J376" s="4">
        <v>0</v>
      </c>
      <c r="K376" s="4">
        <v>0</v>
      </c>
      <c r="L376" s="4">
        <v>18.681999999999999</v>
      </c>
      <c r="M376" s="4">
        <v>17.56108</v>
      </c>
      <c r="N376" s="4">
        <v>18.681999999999999</v>
      </c>
      <c r="O376" s="4">
        <v>17.56108</v>
      </c>
      <c r="P376" s="4">
        <v>4</v>
      </c>
      <c r="Q376" s="3" t="s">
        <v>26</v>
      </c>
      <c r="R376" s="3">
        <v>0</v>
      </c>
      <c r="S376" s="3" t="s">
        <v>245</v>
      </c>
      <c r="T376" s="3" t="s">
        <v>406</v>
      </c>
      <c r="U376" s="3">
        <v>0</v>
      </c>
      <c r="V376" s="3">
        <v>46</v>
      </c>
      <c r="W376" s="3">
        <v>84</v>
      </c>
    </row>
    <row r="377" spans="1:23" ht="11.25" customHeight="1" x14ac:dyDescent="0.3">
      <c r="A377" s="3" t="s">
        <v>21</v>
      </c>
      <c r="B377" s="3" t="s">
        <v>33</v>
      </c>
      <c r="C377" s="3" t="s">
        <v>23</v>
      </c>
      <c r="D377" s="3" t="s">
        <v>48</v>
      </c>
      <c r="E377" s="3" t="s">
        <v>49</v>
      </c>
      <c r="F377" s="3" t="s">
        <v>25</v>
      </c>
      <c r="G377" s="3" t="s">
        <v>25</v>
      </c>
      <c r="H377" s="3" t="s">
        <v>25</v>
      </c>
      <c r="I377" s="6">
        <v>44713</v>
      </c>
      <c r="J377" s="4">
        <v>0</v>
      </c>
      <c r="K377" s="4">
        <v>0</v>
      </c>
      <c r="L377" s="4">
        <v>20.315000000000001</v>
      </c>
      <c r="M377" s="4">
        <v>19.0961</v>
      </c>
      <c r="N377" s="4">
        <v>20.315000000000001</v>
      </c>
      <c r="O377" s="4">
        <v>19.0961</v>
      </c>
      <c r="P377" s="4">
        <v>4</v>
      </c>
      <c r="Q377" s="3" t="s">
        <v>26</v>
      </c>
      <c r="R377" s="3">
        <v>0</v>
      </c>
      <c r="S377" s="3" t="s">
        <v>246</v>
      </c>
      <c r="T377" s="3" t="s">
        <v>407</v>
      </c>
      <c r="U377" s="3">
        <v>0</v>
      </c>
      <c r="V377" s="3">
        <v>46</v>
      </c>
      <c r="W377" s="3">
        <v>84</v>
      </c>
    </row>
    <row r="378" spans="1:23" ht="11.25" customHeight="1" x14ac:dyDescent="0.3">
      <c r="A378" s="3" t="s">
        <v>21</v>
      </c>
      <c r="B378" s="3" t="s">
        <v>33</v>
      </c>
      <c r="C378" s="3" t="s">
        <v>23</v>
      </c>
      <c r="D378" s="3" t="s">
        <v>48</v>
      </c>
      <c r="E378" s="3" t="s">
        <v>49</v>
      </c>
      <c r="F378" s="3" t="s">
        <v>25</v>
      </c>
      <c r="G378" s="3" t="s">
        <v>25</v>
      </c>
      <c r="H378" s="3" t="s">
        <v>25</v>
      </c>
      <c r="I378" s="6">
        <v>44743</v>
      </c>
      <c r="J378" s="4">
        <v>0</v>
      </c>
      <c r="K378" s="4">
        <v>0</v>
      </c>
      <c r="L378" s="4">
        <v>19.311</v>
      </c>
      <c r="M378" s="4">
        <v>18.152339999999999</v>
      </c>
      <c r="N378" s="4">
        <v>19.311</v>
      </c>
      <c r="O378" s="4">
        <v>18.152339999999999</v>
      </c>
      <c r="P378" s="4">
        <v>4</v>
      </c>
      <c r="Q378" s="3" t="s">
        <v>26</v>
      </c>
      <c r="R378" s="3">
        <v>0</v>
      </c>
      <c r="S378" s="3" t="s">
        <v>247</v>
      </c>
      <c r="T378" s="3" t="s">
        <v>408</v>
      </c>
      <c r="U378" s="3">
        <v>0</v>
      </c>
      <c r="V378" s="3">
        <v>46</v>
      </c>
      <c r="W378" s="3">
        <v>84</v>
      </c>
    </row>
    <row r="379" spans="1:23" ht="11.25" customHeight="1" x14ac:dyDescent="0.3">
      <c r="A379" s="3" t="s">
        <v>55</v>
      </c>
      <c r="B379" s="3" t="s">
        <v>33</v>
      </c>
      <c r="C379" s="3" t="s">
        <v>23</v>
      </c>
      <c r="D379" s="3" t="s">
        <v>48</v>
      </c>
      <c r="E379" s="3" t="s">
        <v>49</v>
      </c>
      <c r="F379" s="3" t="s">
        <v>25</v>
      </c>
      <c r="G379" s="3" t="s">
        <v>25</v>
      </c>
      <c r="H379" s="3" t="s">
        <v>25</v>
      </c>
      <c r="I379" s="6">
        <v>44774</v>
      </c>
      <c r="J379" s="4">
        <v>0</v>
      </c>
      <c r="K379" s="4">
        <v>0</v>
      </c>
      <c r="L379" s="4">
        <v>19.311</v>
      </c>
      <c r="M379" s="4">
        <v>18.152339999999999</v>
      </c>
      <c r="N379" s="4">
        <v>19.311</v>
      </c>
      <c r="O379" s="4">
        <v>18.152339999999999</v>
      </c>
      <c r="P379" s="4">
        <v>4</v>
      </c>
      <c r="Q379" s="3" t="s">
        <v>26</v>
      </c>
      <c r="R379" s="3">
        <v>0</v>
      </c>
      <c r="S379" s="3" t="s">
        <v>248</v>
      </c>
      <c r="T379" s="3" t="s">
        <v>409</v>
      </c>
      <c r="U379" s="3">
        <v>0</v>
      </c>
      <c r="V379" s="3">
        <v>46</v>
      </c>
      <c r="W379" s="3">
        <v>84</v>
      </c>
    </row>
    <row r="380" spans="1:23" ht="11.25" customHeight="1" x14ac:dyDescent="0.3">
      <c r="A380" s="3" t="s">
        <v>21</v>
      </c>
      <c r="B380" s="3" t="s">
        <v>45</v>
      </c>
      <c r="C380" s="3" t="s">
        <v>23</v>
      </c>
      <c r="D380" s="3" t="s">
        <v>46</v>
      </c>
      <c r="E380" s="3" t="s">
        <v>47</v>
      </c>
      <c r="F380" s="3" t="s">
        <v>25</v>
      </c>
      <c r="G380" s="3" t="s">
        <v>25</v>
      </c>
      <c r="H380" s="3" t="s">
        <v>25</v>
      </c>
      <c r="I380" s="6">
        <v>44440</v>
      </c>
      <c r="J380" s="4">
        <v>0</v>
      </c>
      <c r="K380" s="4">
        <v>0</v>
      </c>
      <c r="L380" s="4">
        <v>96.787000000000006</v>
      </c>
      <c r="M380" s="4">
        <v>96.787000000000006</v>
      </c>
      <c r="N380" s="4">
        <v>96.787000000000006</v>
      </c>
      <c r="O380" s="4">
        <v>96.787000000000006</v>
      </c>
      <c r="P380" s="4">
        <v>88</v>
      </c>
      <c r="Q380" s="3" t="s">
        <v>26</v>
      </c>
      <c r="R380" s="3">
        <v>0</v>
      </c>
      <c r="S380" s="3" t="s">
        <v>249</v>
      </c>
      <c r="T380" s="3" t="s">
        <v>410</v>
      </c>
      <c r="U380" s="3">
        <v>0</v>
      </c>
      <c r="V380" s="3">
        <v>48</v>
      </c>
      <c r="W380" s="3">
        <v>86</v>
      </c>
    </row>
    <row r="381" spans="1:23" ht="11.25" customHeight="1" x14ac:dyDescent="0.3">
      <c r="A381" s="3" t="s">
        <v>21</v>
      </c>
      <c r="B381" s="3" t="s">
        <v>45</v>
      </c>
      <c r="C381" s="3" t="s">
        <v>23</v>
      </c>
      <c r="D381" s="3" t="s">
        <v>46</v>
      </c>
      <c r="E381" s="3" t="s">
        <v>47</v>
      </c>
      <c r="F381" s="3" t="s">
        <v>25</v>
      </c>
      <c r="G381" s="3" t="s">
        <v>25</v>
      </c>
      <c r="H381" s="3" t="s">
        <v>25</v>
      </c>
      <c r="I381" s="6">
        <v>44470</v>
      </c>
      <c r="J381" s="4">
        <v>0</v>
      </c>
      <c r="K381" s="4">
        <v>0</v>
      </c>
      <c r="L381" s="4">
        <v>99.171999999999997</v>
      </c>
      <c r="M381" s="4">
        <v>99.171999999999997</v>
      </c>
      <c r="N381" s="4">
        <v>99.171999999999997</v>
      </c>
      <c r="O381" s="4">
        <v>99.171999999999997</v>
      </c>
      <c r="P381" s="4">
        <v>88</v>
      </c>
      <c r="Q381" s="3" t="s">
        <v>26</v>
      </c>
      <c r="R381" s="3">
        <v>0</v>
      </c>
      <c r="S381" s="3" t="s">
        <v>250</v>
      </c>
      <c r="T381" s="3" t="s">
        <v>411</v>
      </c>
      <c r="U381" s="3">
        <v>0</v>
      </c>
      <c r="V381" s="3">
        <v>48</v>
      </c>
      <c r="W381" s="3">
        <v>86</v>
      </c>
    </row>
    <row r="382" spans="1:23" ht="11.25" customHeight="1" x14ac:dyDescent="0.3">
      <c r="A382" s="3" t="s">
        <v>21</v>
      </c>
      <c r="B382" s="3" t="s">
        <v>45</v>
      </c>
      <c r="C382" s="3" t="s">
        <v>23</v>
      </c>
      <c r="D382" s="3" t="s">
        <v>46</v>
      </c>
      <c r="E382" s="3" t="s">
        <v>47</v>
      </c>
      <c r="F382" s="3" t="s">
        <v>25</v>
      </c>
      <c r="G382" s="3" t="s">
        <v>25</v>
      </c>
      <c r="H382" s="3" t="s">
        <v>25</v>
      </c>
      <c r="I382" s="6">
        <v>44501</v>
      </c>
      <c r="J382" s="4">
        <v>0</v>
      </c>
      <c r="K382" s="4">
        <v>0</v>
      </c>
      <c r="L382" s="4">
        <v>90.504000000000005</v>
      </c>
      <c r="M382" s="4">
        <v>90.504000000000005</v>
      </c>
      <c r="N382" s="4">
        <v>90.504000000000005</v>
      </c>
      <c r="O382" s="4">
        <v>90.504000000000005</v>
      </c>
      <c r="P382" s="4">
        <v>88</v>
      </c>
      <c r="Q382" s="3" t="s">
        <v>26</v>
      </c>
      <c r="R382" s="3">
        <v>0</v>
      </c>
      <c r="S382" s="3" t="s">
        <v>251</v>
      </c>
      <c r="T382" s="3" t="s">
        <v>412</v>
      </c>
      <c r="U382" s="3">
        <v>0</v>
      </c>
      <c r="V382" s="3">
        <v>48</v>
      </c>
      <c r="W382" s="3">
        <v>86</v>
      </c>
    </row>
    <row r="383" spans="1:23" ht="11.25" customHeight="1" x14ac:dyDescent="0.3">
      <c r="A383" s="3" t="s">
        <v>21</v>
      </c>
      <c r="B383" s="3" t="s">
        <v>45</v>
      </c>
      <c r="C383" s="3" t="s">
        <v>23</v>
      </c>
      <c r="D383" s="3" t="s">
        <v>46</v>
      </c>
      <c r="E383" s="3" t="s">
        <v>47</v>
      </c>
      <c r="F383" s="3" t="s">
        <v>25</v>
      </c>
      <c r="G383" s="3" t="s">
        <v>25</v>
      </c>
      <c r="H383" s="3" t="s">
        <v>25</v>
      </c>
      <c r="I383" s="6">
        <v>44531</v>
      </c>
      <c r="J383" s="4">
        <v>0</v>
      </c>
      <c r="K383" s="4">
        <v>0</v>
      </c>
      <c r="L383" s="4">
        <v>94.962000000000003</v>
      </c>
      <c r="M383" s="4">
        <v>94.962000000000003</v>
      </c>
      <c r="N383" s="4">
        <v>94.962000000000003</v>
      </c>
      <c r="O383" s="4">
        <v>94.962000000000003</v>
      </c>
      <c r="P383" s="4">
        <v>88</v>
      </c>
      <c r="Q383" s="3" t="s">
        <v>26</v>
      </c>
      <c r="R383" s="3">
        <v>0</v>
      </c>
      <c r="S383" s="3" t="s">
        <v>252</v>
      </c>
      <c r="T383" s="3" t="s">
        <v>413</v>
      </c>
      <c r="U383" s="3">
        <v>0</v>
      </c>
      <c r="V383" s="3">
        <v>48</v>
      </c>
      <c r="W383" s="3">
        <v>86</v>
      </c>
    </row>
    <row r="384" spans="1:23" ht="11.25" customHeight="1" x14ac:dyDescent="0.3">
      <c r="A384" s="3" t="s">
        <v>21</v>
      </c>
      <c r="B384" s="3" t="s">
        <v>45</v>
      </c>
      <c r="C384" s="3" t="s">
        <v>23</v>
      </c>
      <c r="D384" s="3" t="s">
        <v>46</v>
      </c>
      <c r="E384" s="3" t="s">
        <v>47</v>
      </c>
      <c r="F384" s="3" t="s">
        <v>25</v>
      </c>
      <c r="G384" s="3" t="s">
        <v>25</v>
      </c>
      <c r="H384" s="3" t="s">
        <v>25</v>
      </c>
      <c r="I384" s="6">
        <v>44562</v>
      </c>
      <c r="J384" s="4">
        <v>0</v>
      </c>
      <c r="K384" s="4">
        <v>0</v>
      </c>
      <c r="L384" s="4">
        <v>92.894000000000005</v>
      </c>
      <c r="M384" s="4">
        <v>92.894000000000005</v>
      </c>
      <c r="N384" s="4">
        <v>92.894000000000005</v>
      </c>
      <c r="O384" s="4">
        <v>92.894000000000005</v>
      </c>
      <c r="P384" s="4">
        <v>88</v>
      </c>
      <c r="Q384" s="3" t="s">
        <v>26</v>
      </c>
      <c r="R384" s="3">
        <v>0</v>
      </c>
      <c r="S384" s="3" t="s">
        <v>253</v>
      </c>
      <c r="T384" s="3" t="s">
        <v>414</v>
      </c>
      <c r="U384" s="3">
        <v>0</v>
      </c>
      <c r="V384" s="3">
        <v>48</v>
      </c>
      <c r="W384" s="3">
        <v>86</v>
      </c>
    </row>
    <row r="385" spans="1:23" ht="11.25" customHeight="1" x14ac:dyDescent="0.3">
      <c r="A385" s="3" t="s">
        <v>21</v>
      </c>
      <c r="B385" s="3" t="s">
        <v>45</v>
      </c>
      <c r="C385" s="3" t="s">
        <v>23</v>
      </c>
      <c r="D385" s="3" t="s">
        <v>46</v>
      </c>
      <c r="E385" s="3" t="s">
        <v>47</v>
      </c>
      <c r="F385" s="3" t="s">
        <v>25</v>
      </c>
      <c r="G385" s="3" t="s">
        <v>25</v>
      </c>
      <c r="H385" s="3" t="s">
        <v>25</v>
      </c>
      <c r="I385" s="6">
        <v>44593</v>
      </c>
      <c r="J385" s="4">
        <v>0</v>
      </c>
      <c r="K385" s="4">
        <v>0</v>
      </c>
      <c r="L385" s="4">
        <v>92.475999999999999</v>
      </c>
      <c r="M385" s="4">
        <v>92.475999999999999</v>
      </c>
      <c r="N385" s="4">
        <v>92.475999999999999</v>
      </c>
      <c r="O385" s="4">
        <v>92.475999999999999</v>
      </c>
      <c r="P385" s="4">
        <v>88</v>
      </c>
      <c r="Q385" s="3" t="s">
        <v>26</v>
      </c>
      <c r="R385" s="3">
        <v>0</v>
      </c>
      <c r="S385" s="3" t="s">
        <v>254</v>
      </c>
      <c r="T385" s="3" t="s">
        <v>415</v>
      </c>
      <c r="U385" s="3">
        <v>0</v>
      </c>
      <c r="V385" s="3">
        <v>48</v>
      </c>
      <c r="W385" s="3">
        <v>86</v>
      </c>
    </row>
    <row r="386" spans="1:23" ht="11.25" customHeight="1" x14ac:dyDescent="0.3">
      <c r="A386" s="3" t="s">
        <v>21</v>
      </c>
      <c r="B386" s="3" t="s">
        <v>45</v>
      </c>
      <c r="C386" s="3" t="s">
        <v>23</v>
      </c>
      <c r="D386" s="3" t="s">
        <v>46</v>
      </c>
      <c r="E386" s="3" t="s">
        <v>47</v>
      </c>
      <c r="F386" s="3" t="s">
        <v>25</v>
      </c>
      <c r="G386" s="3" t="s">
        <v>25</v>
      </c>
      <c r="H386" s="3" t="s">
        <v>25</v>
      </c>
      <c r="I386" s="6">
        <v>44621</v>
      </c>
      <c r="J386" s="4">
        <v>0</v>
      </c>
      <c r="K386" s="4">
        <v>0</v>
      </c>
      <c r="L386" s="4">
        <v>92.998999999999995</v>
      </c>
      <c r="M386" s="4">
        <v>92.998999999999995</v>
      </c>
      <c r="N386" s="4">
        <v>92.998999999999995</v>
      </c>
      <c r="O386" s="4">
        <v>92.998999999999995</v>
      </c>
      <c r="P386" s="4">
        <v>88</v>
      </c>
      <c r="Q386" s="3" t="s">
        <v>26</v>
      </c>
      <c r="R386" s="3">
        <v>0</v>
      </c>
      <c r="S386" s="3" t="s">
        <v>255</v>
      </c>
      <c r="T386" s="3" t="s">
        <v>416</v>
      </c>
      <c r="U386" s="3">
        <v>0</v>
      </c>
      <c r="V386" s="3">
        <v>48</v>
      </c>
      <c r="W386" s="3">
        <v>86</v>
      </c>
    </row>
    <row r="387" spans="1:23" ht="11.25" customHeight="1" x14ac:dyDescent="0.3">
      <c r="A387" s="3" t="s">
        <v>21</v>
      </c>
      <c r="B387" s="3" t="s">
        <v>45</v>
      </c>
      <c r="C387" s="3" t="s">
        <v>23</v>
      </c>
      <c r="D387" s="3" t="s">
        <v>46</v>
      </c>
      <c r="E387" s="3" t="s">
        <v>47</v>
      </c>
      <c r="F387" s="3" t="s">
        <v>25</v>
      </c>
      <c r="G387" s="3" t="s">
        <v>25</v>
      </c>
      <c r="H387" s="3" t="s">
        <v>25</v>
      </c>
      <c r="I387" s="6">
        <v>44652</v>
      </c>
      <c r="J387" s="4">
        <v>0</v>
      </c>
      <c r="K387" s="4">
        <v>0</v>
      </c>
      <c r="L387" s="4">
        <v>100.651</v>
      </c>
      <c r="M387" s="4">
        <v>100.651</v>
      </c>
      <c r="N387" s="4">
        <v>100.651</v>
      </c>
      <c r="O387" s="4">
        <v>100.651</v>
      </c>
      <c r="P387" s="4">
        <v>87</v>
      </c>
      <c r="Q387" s="3" t="s">
        <v>26</v>
      </c>
      <c r="R387" s="3">
        <v>0</v>
      </c>
      <c r="S387" s="3" t="s">
        <v>256</v>
      </c>
      <c r="T387" s="3" t="s">
        <v>417</v>
      </c>
      <c r="U387" s="3">
        <v>0</v>
      </c>
      <c r="V387" s="3">
        <v>48</v>
      </c>
      <c r="W387" s="3">
        <v>86</v>
      </c>
    </row>
    <row r="388" spans="1:23" ht="11.25" customHeight="1" x14ac:dyDescent="0.3">
      <c r="A388" s="3" t="s">
        <v>21</v>
      </c>
      <c r="B388" s="3" t="s">
        <v>45</v>
      </c>
      <c r="C388" s="3" t="s">
        <v>23</v>
      </c>
      <c r="D388" s="3" t="s">
        <v>46</v>
      </c>
      <c r="E388" s="3" t="s">
        <v>47</v>
      </c>
      <c r="F388" s="3" t="s">
        <v>25</v>
      </c>
      <c r="G388" s="3" t="s">
        <v>25</v>
      </c>
      <c r="H388" s="3" t="s">
        <v>25</v>
      </c>
      <c r="I388" s="6">
        <v>44682</v>
      </c>
      <c r="J388" s="4">
        <v>0</v>
      </c>
      <c r="K388" s="4">
        <v>0</v>
      </c>
      <c r="L388" s="4">
        <v>103.706</v>
      </c>
      <c r="M388" s="4">
        <v>103.706</v>
      </c>
      <c r="N388" s="4">
        <v>103.706</v>
      </c>
      <c r="O388" s="4">
        <v>103.706</v>
      </c>
      <c r="P388" s="4">
        <v>87</v>
      </c>
      <c r="Q388" s="3" t="s">
        <v>26</v>
      </c>
      <c r="R388" s="3">
        <v>0</v>
      </c>
      <c r="S388" s="3" t="s">
        <v>257</v>
      </c>
      <c r="T388" s="3" t="s">
        <v>418</v>
      </c>
      <c r="U388" s="3">
        <v>0</v>
      </c>
      <c r="V388" s="3">
        <v>48</v>
      </c>
      <c r="W388" s="3">
        <v>86</v>
      </c>
    </row>
    <row r="389" spans="1:23" ht="11.25" customHeight="1" x14ac:dyDescent="0.3">
      <c r="A389" s="3" t="s">
        <v>21</v>
      </c>
      <c r="B389" s="3" t="s">
        <v>45</v>
      </c>
      <c r="C389" s="3" t="s">
        <v>23</v>
      </c>
      <c r="D389" s="3" t="s">
        <v>46</v>
      </c>
      <c r="E389" s="3" t="s">
        <v>47</v>
      </c>
      <c r="F389" s="3" t="s">
        <v>25</v>
      </c>
      <c r="G389" s="3" t="s">
        <v>25</v>
      </c>
      <c r="H389" s="3" t="s">
        <v>25</v>
      </c>
      <c r="I389" s="6">
        <v>44713</v>
      </c>
      <c r="J389" s="4">
        <v>0</v>
      </c>
      <c r="K389" s="4">
        <v>0</v>
      </c>
      <c r="L389" s="4">
        <v>110.32899999999999</v>
      </c>
      <c r="M389" s="4">
        <v>110.32899999999999</v>
      </c>
      <c r="N389" s="4">
        <v>110.32899999999999</v>
      </c>
      <c r="O389" s="4">
        <v>110.32899999999999</v>
      </c>
      <c r="P389" s="4">
        <v>87</v>
      </c>
      <c r="Q389" s="3" t="s">
        <v>26</v>
      </c>
      <c r="R389" s="3">
        <v>0</v>
      </c>
      <c r="S389" s="3" t="s">
        <v>258</v>
      </c>
      <c r="T389" s="3" t="s">
        <v>419</v>
      </c>
      <c r="U389" s="3">
        <v>0</v>
      </c>
      <c r="V389" s="3">
        <v>48</v>
      </c>
      <c r="W389" s="3">
        <v>86</v>
      </c>
    </row>
    <row r="390" spans="1:23" ht="11.25" customHeight="1" x14ac:dyDescent="0.3">
      <c r="A390" s="3" t="s">
        <v>21</v>
      </c>
      <c r="B390" s="3" t="s">
        <v>45</v>
      </c>
      <c r="C390" s="3" t="s">
        <v>23</v>
      </c>
      <c r="D390" s="3" t="s">
        <v>46</v>
      </c>
      <c r="E390" s="3" t="s">
        <v>47</v>
      </c>
      <c r="F390" s="3" t="s">
        <v>25</v>
      </c>
      <c r="G390" s="3" t="s">
        <v>25</v>
      </c>
      <c r="H390" s="3" t="s">
        <v>25</v>
      </c>
      <c r="I390" s="6">
        <v>44743</v>
      </c>
      <c r="J390" s="4">
        <v>0</v>
      </c>
      <c r="K390" s="4">
        <v>0</v>
      </c>
      <c r="L390" s="4">
        <v>117.774</v>
      </c>
      <c r="M390" s="4">
        <v>117.774</v>
      </c>
      <c r="N390" s="4">
        <v>117.774</v>
      </c>
      <c r="O390" s="4">
        <v>117.774</v>
      </c>
      <c r="P390" s="4">
        <v>87</v>
      </c>
      <c r="Q390" s="3" t="s">
        <v>26</v>
      </c>
      <c r="R390" s="3">
        <v>0</v>
      </c>
      <c r="S390" s="3" t="s">
        <v>259</v>
      </c>
      <c r="T390" s="3" t="s">
        <v>420</v>
      </c>
      <c r="U390" s="3">
        <v>0</v>
      </c>
      <c r="V390" s="3">
        <v>48</v>
      </c>
      <c r="W390" s="3">
        <v>86</v>
      </c>
    </row>
    <row r="391" spans="1:23" ht="11.25" customHeight="1" x14ac:dyDescent="0.3">
      <c r="A391" s="3" t="s">
        <v>55</v>
      </c>
      <c r="B391" s="3" t="s">
        <v>45</v>
      </c>
      <c r="C391" s="3" t="s">
        <v>23</v>
      </c>
      <c r="D391" s="3" t="s">
        <v>46</v>
      </c>
      <c r="E391" s="3" t="s">
        <v>47</v>
      </c>
      <c r="F391" s="3" t="s">
        <v>25</v>
      </c>
      <c r="G391" s="3" t="s">
        <v>25</v>
      </c>
      <c r="H391" s="3" t="s">
        <v>25</v>
      </c>
      <c r="I391" s="6">
        <v>44774</v>
      </c>
      <c r="J391" s="4">
        <v>0</v>
      </c>
      <c r="K391" s="4">
        <v>0</v>
      </c>
      <c r="L391" s="4">
        <v>117.774</v>
      </c>
      <c r="M391" s="4">
        <v>117.774</v>
      </c>
      <c r="N391" s="4">
        <v>117.774</v>
      </c>
      <c r="O391" s="4">
        <v>117.774</v>
      </c>
      <c r="P391" s="4">
        <v>87</v>
      </c>
      <c r="Q391" s="3" t="s">
        <v>26</v>
      </c>
      <c r="R391" s="3">
        <v>0</v>
      </c>
      <c r="S391" s="3" t="s">
        <v>260</v>
      </c>
      <c r="T391" s="3" t="s">
        <v>421</v>
      </c>
      <c r="U391" s="3">
        <v>0</v>
      </c>
      <c r="V391" s="3">
        <v>48</v>
      </c>
      <c r="W391" s="3">
        <v>86</v>
      </c>
    </row>
  </sheetData>
  <sortState xmlns:xlrd2="http://schemas.microsoft.com/office/spreadsheetml/2017/richdata2" ref="A2:W391">
    <sortCondition ref="B2:B391"/>
    <sortCondition ref="C2:C391"/>
    <sortCondition ref="D2:D391"/>
    <sortCondition ref="E2:E391"/>
    <sortCondition ref="F2:F391"/>
    <sortCondition ref="H2:H39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63F8F-853D-4361-920E-FD55E70B1AAC}">
  <dimension ref="A1:H26"/>
  <sheetViews>
    <sheetView showGridLines="0" workbookViewId="0">
      <selection activeCell="H1" sqref="H1"/>
    </sheetView>
  </sheetViews>
  <sheetFormatPr defaultColWidth="9.109375" defaultRowHeight="11.25" customHeight="1" x14ac:dyDescent="0.3"/>
  <cols>
    <col min="1" max="1" width="12.109375" style="8" bestFit="1" customWidth="1"/>
    <col min="2" max="2" width="15.88671875" style="8" bestFit="1" customWidth="1"/>
    <col min="3" max="3" width="4.6640625" style="8" bestFit="1" customWidth="1"/>
    <col min="4" max="4" width="6.44140625" style="8" bestFit="1" customWidth="1"/>
    <col min="5" max="5" width="8.44140625" style="8" bestFit="1" customWidth="1"/>
    <col min="6" max="6" width="9.109375" style="8"/>
    <col min="7" max="7" width="18.5546875" style="8" bestFit="1" customWidth="1"/>
    <col min="8" max="8" width="2" style="8" bestFit="1" customWidth="1"/>
    <col min="9" max="16384" width="9.109375" style="8"/>
  </cols>
  <sheetData>
    <row r="1" spans="1:8" s="7" customFormat="1" ht="11.25" customHeight="1" x14ac:dyDescent="0.3">
      <c r="A1" s="7" t="s">
        <v>56</v>
      </c>
      <c r="B1" s="7" t="s">
        <v>57</v>
      </c>
      <c r="C1" s="7" t="s">
        <v>58</v>
      </c>
      <c r="D1" s="7" t="s">
        <v>59</v>
      </c>
      <c r="E1" s="7" t="s">
        <v>60</v>
      </c>
      <c r="G1" s="7" t="s">
        <v>61</v>
      </c>
      <c r="H1" s="7">
        <f>COUNTA(A:A)</f>
        <v>26</v>
      </c>
    </row>
    <row r="2" spans="1:8" ht="11.25" customHeight="1" x14ac:dyDescent="0.3">
      <c r="A2" s="8" t="s">
        <v>274</v>
      </c>
      <c r="B2" s="8" t="s">
        <v>275</v>
      </c>
      <c r="C2" s="8" t="s">
        <v>276</v>
      </c>
      <c r="D2" s="8">
        <v>14</v>
      </c>
      <c r="E2" s="8" t="s">
        <v>277</v>
      </c>
    </row>
    <row r="3" spans="1:8" ht="11.25" customHeight="1" x14ac:dyDescent="0.3">
      <c r="A3" s="8" t="s">
        <v>274</v>
      </c>
      <c r="B3" s="8" t="s">
        <v>275</v>
      </c>
      <c r="C3" s="8" t="s">
        <v>276</v>
      </c>
      <c r="D3" s="8">
        <v>15</v>
      </c>
      <c r="E3" s="8" t="s">
        <v>277</v>
      </c>
    </row>
    <row r="4" spans="1:8" ht="11.25" customHeight="1" x14ac:dyDescent="0.3">
      <c r="A4" s="8" t="s">
        <v>274</v>
      </c>
      <c r="B4" s="8" t="s">
        <v>275</v>
      </c>
      <c r="C4" s="8" t="s">
        <v>276</v>
      </c>
      <c r="D4" s="8">
        <v>16</v>
      </c>
      <c r="E4" s="8" t="s">
        <v>277</v>
      </c>
    </row>
    <row r="5" spans="1:8" ht="11.25" customHeight="1" x14ac:dyDescent="0.3">
      <c r="A5" s="8" t="s">
        <v>274</v>
      </c>
      <c r="B5" s="8" t="s">
        <v>275</v>
      </c>
      <c r="C5" s="8" t="s">
        <v>276</v>
      </c>
      <c r="D5" s="8">
        <v>17</v>
      </c>
      <c r="E5" s="8" t="s">
        <v>277</v>
      </c>
    </row>
    <row r="6" spans="1:8" ht="11.25" customHeight="1" x14ac:dyDescent="0.3">
      <c r="A6" s="8" t="s">
        <v>274</v>
      </c>
      <c r="B6" s="8" t="s">
        <v>275</v>
      </c>
      <c r="C6" s="8" t="s">
        <v>276</v>
      </c>
      <c r="D6" s="8">
        <v>18</v>
      </c>
      <c r="E6" s="8" t="s">
        <v>277</v>
      </c>
    </row>
    <row r="7" spans="1:8" ht="11.25" customHeight="1" x14ac:dyDescent="0.3">
      <c r="A7" s="8" t="s">
        <v>274</v>
      </c>
      <c r="B7" s="8" t="s">
        <v>275</v>
      </c>
      <c r="C7" s="8" t="s">
        <v>276</v>
      </c>
      <c r="D7" s="8">
        <v>19</v>
      </c>
      <c r="E7" s="8" t="s">
        <v>277</v>
      </c>
    </row>
    <row r="8" spans="1:8" ht="11.25" customHeight="1" x14ac:dyDescent="0.3">
      <c r="A8" s="8" t="s">
        <v>274</v>
      </c>
      <c r="B8" s="8" t="s">
        <v>275</v>
      </c>
      <c r="C8" s="8" t="s">
        <v>276</v>
      </c>
      <c r="D8" s="8">
        <v>20</v>
      </c>
      <c r="E8" s="8" t="s">
        <v>277</v>
      </c>
    </row>
    <row r="9" spans="1:8" ht="11.25" customHeight="1" x14ac:dyDescent="0.3">
      <c r="A9" s="8" t="s">
        <v>274</v>
      </c>
      <c r="B9" s="8" t="s">
        <v>275</v>
      </c>
      <c r="C9" s="8" t="s">
        <v>276</v>
      </c>
      <c r="D9" s="8">
        <v>21</v>
      </c>
      <c r="E9" s="8" t="s">
        <v>277</v>
      </c>
    </row>
    <row r="10" spans="1:8" ht="11.25" customHeight="1" x14ac:dyDescent="0.3">
      <c r="A10" s="8" t="s">
        <v>274</v>
      </c>
      <c r="B10" s="8" t="s">
        <v>275</v>
      </c>
      <c r="C10" s="8" t="s">
        <v>276</v>
      </c>
      <c r="D10" s="8">
        <v>22</v>
      </c>
      <c r="E10" s="8" t="s">
        <v>277</v>
      </c>
    </row>
    <row r="11" spans="1:8" ht="11.25" customHeight="1" x14ac:dyDescent="0.3">
      <c r="A11" s="8" t="s">
        <v>274</v>
      </c>
      <c r="B11" s="8" t="s">
        <v>275</v>
      </c>
      <c r="C11" s="8" t="s">
        <v>276</v>
      </c>
      <c r="D11" s="8">
        <v>23</v>
      </c>
      <c r="E11" s="8" t="s">
        <v>277</v>
      </c>
    </row>
    <row r="12" spans="1:8" ht="11.25" customHeight="1" x14ac:dyDescent="0.3">
      <c r="A12" s="8" t="s">
        <v>274</v>
      </c>
      <c r="B12" s="8" t="s">
        <v>275</v>
      </c>
      <c r="C12" s="8" t="s">
        <v>276</v>
      </c>
      <c r="D12" s="8">
        <v>24</v>
      </c>
      <c r="E12" s="8" t="s">
        <v>277</v>
      </c>
    </row>
    <row r="13" spans="1:8" ht="11.25" customHeight="1" x14ac:dyDescent="0.3">
      <c r="A13" s="8" t="s">
        <v>274</v>
      </c>
      <c r="B13" s="8" t="s">
        <v>275</v>
      </c>
      <c r="C13" s="8" t="s">
        <v>276</v>
      </c>
      <c r="D13" s="8">
        <v>25</v>
      </c>
      <c r="E13" s="8" t="s">
        <v>277</v>
      </c>
    </row>
    <row r="14" spans="1:8" ht="11.25" customHeight="1" x14ac:dyDescent="0.3">
      <c r="A14" s="8" t="s">
        <v>274</v>
      </c>
      <c r="B14" s="8" t="s">
        <v>275</v>
      </c>
      <c r="C14" s="8" t="s">
        <v>276</v>
      </c>
      <c r="D14" s="8">
        <v>50</v>
      </c>
      <c r="E14" s="8" t="s">
        <v>277</v>
      </c>
    </row>
    <row r="15" spans="1:8" ht="11.25" customHeight="1" x14ac:dyDescent="0.3">
      <c r="A15" s="8" t="s">
        <v>274</v>
      </c>
      <c r="B15" s="8" t="s">
        <v>275</v>
      </c>
      <c r="C15" s="8" t="s">
        <v>276</v>
      </c>
      <c r="D15" s="8">
        <v>51</v>
      </c>
      <c r="E15" s="8" t="s">
        <v>277</v>
      </c>
    </row>
    <row r="16" spans="1:8" ht="11.25" customHeight="1" x14ac:dyDescent="0.3">
      <c r="A16" s="8" t="s">
        <v>274</v>
      </c>
      <c r="B16" s="8" t="s">
        <v>275</v>
      </c>
      <c r="C16" s="8" t="s">
        <v>276</v>
      </c>
      <c r="D16" s="8">
        <v>52</v>
      </c>
      <c r="E16" s="8" t="s">
        <v>277</v>
      </c>
    </row>
    <row r="17" spans="1:5" ht="11.25" customHeight="1" x14ac:dyDescent="0.3">
      <c r="A17" s="8" t="s">
        <v>274</v>
      </c>
      <c r="B17" s="8" t="s">
        <v>275</v>
      </c>
      <c r="C17" s="8" t="s">
        <v>276</v>
      </c>
      <c r="D17" s="8">
        <v>53</v>
      </c>
      <c r="E17" s="8" t="s">
        <v>277</v>
      </c>
    </row>
    <row r="18" spans="1:5" ht="11.25" customHeight="1" x14ac:dyDescent="0.3">
      <c r="A18" s="8" t="s">
        <v>274</v>
      </c>
      <c r="B18" s="8" t="s">
        <v>275</v>
      </c>
      <c r="C18" s="8" t="s">
        <v>276</v>
      </c>
      <c r="D18" s="8">
        <v>54</v>
      </c>
      <c r="E18" s="8" t="s">
        <v>277</v>
      </c>
    </row>
    <row r="19" spans="1:5" ht="11.25" customHeight="1" x14ac:dyDescent="0.3">
      <c r="A19" s="8" t="s">
        <v>274</v>
      </c>
      <c r="B19" s="8" t="s">
        <v>275</v>
      </c>
      <c r="C19" s="8" t="s">
        <v>276</v>
      </c>
      <c r="D19" s="8">
        <v>55</v>
      </c>
      <c r="E19" s="8" t="s">
        <v>277</v>
      </c>
    </row>
    <row r="20" spans="1:5" ht="11.25" customHeight="1" x14ac:dyDescent="0.3">
      <c r="A20" s="8" t="s">
        <v>274</v>
      </c>
      <c r="B20" s="8" t="s">
        <v>275</v>
      </c>
      <c r="C20" s="8" t="s">
        <v>276</v>
      </c>
      <c r="D20" s="8">
        <v>56</v>
      </c>
      <c r="E20" s="8" t="s">
        <v>277</v>
      </c>
    </row>
    <row r="21" spans="1:5" ht="11.25" customHeight="1" x14ac:dyDescent="0.3">
      <c r="A21" s="8" t="s">
        <v>274</v>
      </c>
      <c r="B21" s="8" t="s">
        <v>275</v>
      </c>
      <c r="C21" s="8" t="s">
        <v>276</v>
      </c>
      <c r="D21" s="8">
        <v>57</v>
      </c>
      <c r="E21" s="8" t="s">
        <v>277</v>
      </c>
    </row>
    <row r="22" spans="1:5" ht="11.25" customHeight="1" x14ac:dyDescent="0.3">
      <c r="A22" s="8" t="s">
        <v>274</v>
      </c>
      <c r="B22" s="8" t="s">
        <v>275</v>
      </c>
      <c r="C22" s="8" t="s">
        <v>276</v>
      </c>
      <c r="D22" s="8">
        <v>58</v>
      </c>
      <c r="E22" s="8" t="s">
        <v>277</v>
      </c>
    </row>
    <row r="23" spans="1:5" ht="11.25" customHeight="1" x14ac:dyDescent="0.3">
      <c r="A23" s="8" t="s">
        <v>274</v>
      </c>
      <c r="B23" s="8" t="s">
        <v>275</v>
      </c>
      <c r="C23" s="8" t="s">
        <v>276</v>
      </c>
      <c r="D23" s="8">
        <v>59</v>
      </c>
      <c r="E23" s="8" t="s">
        <v>277</v>
      </c>
    </row>
    <row r="24" spans="1:5" ht="11.25" customHeight="1" x14ac:dyDescent="0.3">
      <c r="A24" s="8" t="s">
        <v>274</v>
      </c>
      <c r="B24" s="8" t="s">
        <v>275</v>
      </c>
      <c r="C24" s="8" t="s">
        <v>276</v>
      </c>
      <c r="D24" s="8">
        <v>60</v>
      </c>
      <c r="E24" s="8" t="s">
        <v>277</v>
      </c>
    </row>
    <row r="25" spans="1:5" ht="11.25" customHeight="1" x14ac:dyDescent="0.3">
      <c r="A25" s="8" t="s">
        <v>274</v>
      </c>
      <c r="B25" s="8" t="s">
        <v>275</v>
      </c>
      <c r="C25" s="8" t="s">
        <v>276</v>
      </c>
      <c r="D25" s="8">
        <v>61</v>
      </c>
      <c r="E25" s="8" t="s">
        <v>277</v>
      </c>
    </row>
    <row r="26" spans="1:5" ht="11.25" customHeight="1" x14ac:dyDescent="0.3">
      <c r="A26" s="8" t="s">
        <v>274</v>
      </c>
      <c r="C26" s="8" t="s">
        <v>511</v>
      </c>
      <c r="D26" s="8">
        <v>40</v>
      </c>
      <c r="E26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A1AD-F493-4232-B173-C3503D59BB93}">
  <dimension ref="A1:AX88"/>
  <sheetViews>
    <sheetView showGridLines="0" workbookViewId="0"/>
  </sheetViews>
  <sheetFormatPr defaultColWidth="9.109375" defaultRowHeight="10.199999999999999" x14ac:dyDescent="0.3"/>
  <cols>
    <col min="1" max="1" width="4.6640625" style="8" bestFit="1" customWidth="1"/>
    <col min="2" max="2" width="8.88671875" style="8" bestFit="1" customWidth="1"/>
    <col min="3" max="3" width="8.6640625" style="8" bestFit="1" customWidth="1"/>
    <col min="4" max="4" width="27.109375" style="8" bestFit="1" customWidth="1"/>
    <col min="5" max="5" width="13.5546875" style="8" bestFit="1" customWidth="1"/>
    <col min="6" max="6" width="25.109375" style="8" bestFit="1" customWidth="1"/>
    <col min="7" max="9" width="10.33203125" style="8" bestFit="1" customWidth="1"/>
    <col min="10" max="10" width="6.88671875" style="8" bestFit="1" customWidth="1"/>
    <col min="11" max="11" width="4.5546875" style="8" bestFit="1" customWidth="1"/>
    <col min="12" max="12" width="4.44140625" style="8" bestFit="1" customWidth="1"/>
    <col min="13" max="13" width="6.6640625" style="8" bestFit="1" customWidth="1"/>
    <col min="14" max="14" width="6.33203125" style="8" bestFit="1" customWidth="1"/>
    <col min="15" max="15" width="11.109375" style="8" bestFit="1" customWidth="1"/>
    <col min="16" max="16" width="10.44140625" style="8" bestFit="1" customWidth="1"/>
    <col min="17" max="16384" width="9.109375" style="8"/>
  </cols>
  <sheetData>
    <row r="1" spans="1:50" ht="11.25" customHeight="1" x14ac:dyDescent="0.3">
      <c r="A1" s="36" t="s">
        <v>571</v>
      </c>
      <c r="B1" s="36" t="s">
        <v>562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563</v>
      </c>
      <c r="K1" s="36" t="s">
        <v>564</v>
      </c>
      <c r="L1" s="36" t="s">
        <v>565</v>
      </c>
      <c r="M1" s="36" t="s">
        <v>566</v>
      </c>
      <c r="N1" s="36" t="s">
        <v>567</v>
      </c>
      <c r="O1" s="36" t="s">
        <v>443</v>
      </c>
      <c r="P1" s="36" t="s">
        <v>429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37">
        <v>1</v>
      </c>
      <c r="B2" s="37" t="s">
        <v>423</v>
      </c>
      <c r="C2" s="37" t="s">
        <v>35</v>
      </c>
      <c r="D2" s="37" t="s">
        <v>75</v>
      </c>
      <c r="E2" s="37" t="s">
        <v>25</v>
      </c>
      <c r="F2" s="37" t="s">
        <v>25</v>
      </c>
      <c r="G2" s="37" t="s">
        <v>25</v>
      </c>
      <c r="H2" s="37" t="s">
        <v>25</v>
      </c>
      <c r="I2" s="37" t="s">
        <v>37</v>
      </c>
      <c r="J2" s="37" t="s">
        <v>568</v>
      </c>
      <c r="K2" s="37" t="s">
        <v>569</v>
      </c>
      <c r="L2" s="37" t="s">
        <v>76</v>
      </c>
      <c r="M2" s="37">
        <v>2021</v>
      </c>
      <c r="N2" s="37">
        <v>0</v>
      </c>
      <c r="O2" s="37">
        <v>62.62</v>
      </c>
      <c r="P2" s="37">
        <v>0</v>
      </c>
    </row>
    <row r="3" spans="1:50" ht="11.25" customHeight="1" x14ac:dyDescent="0.3">
      <c r="A3" s="37">
        <v>2</v>
      </c>
      <c r="B3" s="37" t="s">
        <v>423</v>
      </c>
      <c r="C3" s="37" t="s">
        <v>35</v>
      </c>
      <c r="D3" s="37" t="s">
        <v>75</v>
      </c>
      <c r="E3" s="37" t="s">
        <v>25</v>
      </c>
      <c r="F3" s="37" t="s">
        <v>25</v>
      </c>
      <c r="G3" s="37" t="s">
        <v>25</v>
      </c>
      <c r="H3" s="37" t="s">
        <v>25</v>
      </c>
      <c r="I3" s="37" t="s">
        <v>38</v>
      </c>
      <c r="J3" s="37" t="s">
        <v>568</v>
      </c>
      <c r="K3" s="37" t="s">
        <v>569</v>
      </c>
      <c r="L3" s="37" t="s">
        <v>76</v>
      </c>
      <c r="M3" s="37">
        <v>2021</v>
      </c>
      <c r="N3" s="37">
        <v>0</v>
      </c>
      <c r="O3" s="37">
        <v>21.06</v>
      </c>
      <c r="P3" s="37">
        <v>0</v>
      </c>
    </row>
    <row r="4" spans="1:50" ht="11.25" customHeight="1" x14ac:dyDescent="0.3">
      <c r="A4" s="37">
        <v>3</v>
      </c>
      <c r="B4" s="37" t="s">
        <v>423</v>
      </c>
      <c r="C4" s="37" t="s">
        <v>35</v>
      </c>
      <c r="D4" s="37" t="s">
        <v>75</v>
      </c>
      <c r="E4" s="37" t="s">
        <v>25</v>
      </c>
      <c r="F4" s="37" t="s">
        <v>25</v>
      </c>
      <c r="G4" s="37" t="s">
        <v>25</v>
      </c>
      <c r="H4" s="37" t="s">
        <v>25</v>
      </c>
      <c r="I4" s="37" t="s">
        <v>25</v>
      </c>
      <c r="J4" s="37" t="s">
        <v>570</v>
      </c>
      <c r="K4" s="37" t="s">
        <v>569</v>
      </c>
      <c r="L4" s="37" t="s">
        <v>72</v>
      </c>
      <c r="M4" s="37">
        <v>2021</v>
      </c>
      <c r="N4" s="37">
        <v>0</v>
      </c>
      <c r="O4" s="37">
        <v>61.71</v>
      </c>
      <c r="P4" s="37">
        <v>50.984504088134898</v>
      </c>
    </row>
    <row r="5" spans="1:50" ht="11.25" customHeight="1" x14ac:dyDescent="0.3">
      <c r="A5" s="37">
        <v>4</v>
      </c>
      <c r="B5" s="37" t="s">
        <v>423</v>
      </c>
      <c r="C5" s="37" t="s">
        <v>35</v>
      </c>
      <c r="D5" s="37" t="s">
        <v>75</v>
      </c>
      <c r="E5" s="37" t="s">
        <v>25</v>
      </c>
      <c r="F5" s="37" t="s">
        <v>25</v>
      </c>
      <c r="G5" s="37" t="s">
        <v>80</v>
      </c>
      <c r="H5" s="37" t="s">
        <v>25</v>
      </c>
      <c r="I5" s="37" t="s">
        <v>25</v>
      </c>
      <c r="J5" s="37" t="s">
        <v>570</v>
      </c>
      <c r="K5" s="37" t="s">
        <v>569</v>
      </c>
      <c r="L5" s="37" t="s">
        <v>72</v>
      </c>
      <c r="M5" s="37">
        <v>2021</v>
      </c>
      <c r="N5" s="37">
        <v>0</v>
      </c>
      <c r="O5" s="37">
        <v>1.58</v>
      </c>
      <c r="P5" s="37">
        <v>0</v>
      </c>
    </row>
    <row r="6" spans="1:50" ht="11.25" customHeight="1" x14ac:dyDescent="0.3">
      <c r="A6" s="37">
        <v>5</v>
      </c>
      <c r="B6" s="37" t="s">
        <v>423</v>
      </c>
      <c r="C6" s="37" t="s">
        <v>35</v>
      </c>
      <c r="D6" s="37" t="s">
        <v>81</v>
      </c>
      <c r="E6" s="37" t="s">
        <v>25</v>
      </c>
      <c r="F6" s="37" t="s">
        <v>25</v>
      </c>
      <c r="G6" s="37" t="s">
        <v>25</v>
      </c>
      <c r="H6" s="37" t="s">
        <v>25</v>
      </c>
      <c r="I6" s="37" t="s">
        <v>25</v>
      </c>
      <c r="J6" s="37" t="s">
        <v>568</v>
      </c>
      <c r="K6" s="37" t="s">
        <v>569</v>
      </c>
      <c r="L6" s="37" t="s">
        <v>76</v>
      </c>
      <c r="M6" s="37">
        <v>2021</v>
      </c>
      <c r="N6" s="37">
        <v>0</v>
      </c>
      <c r="O6" s="37">
        <v>4.32</v>
      </c>
      <c r="P6" s="37">
        <v>0</v>
      </c>
    </row>
    <row r="7" spans="1:50" ht="11.25" customHeight="1" x14ac:dyDescent="0.3">
      <c r="A7" s="37">
        <v>6</v>
      </c>
      <c r="B7" s="37" t="s">
        <v>423</v>
      </c>
      <c r="C7" s="37" t="s">
        <v>35</v>
      </c>
      <c r="D7" s="37" t="s">
        <v>36</v>
      </c>
      <c r="E7" s="37" t="s">
        <v>25</v>
      </c>
      <c r="F7" s="37" t="s">
        <v>25</v>
      </c>
      <c r="G7" s="37" t="s">
        <v>25</v>
      </c>
      <c r="H7" s="37" t="s">
        <v>25</v>
      </c>
      <c r="I7" s="37" t="s">
        <v>25</v>
      </c>
      <c r="J7" s="37" t="s">
        <v>568</v>
      </c>
      <c r="K7" s="37" t="s">
        <v>569</v>
      </c>
      <c r="L7" s="37" t="s">
        <v>76</v>
      </c>
      <c r="M7" s="37">
        <v>2021</v>
      </c>
      <c r="N7" s="37">
        <v>0</v>
      </c>
      <c r="O7" s="37">
        <v>21.06</v>
      </c>
      <c r="P7" s="37">
        <v>0</v>
      </c>
    </row>
    <row r="8" spans="1:50" ht="11.25" customHeight="1" x14ac:dyDescent="0.3">
      <c r="A8" s="37">
        <v>7</v>
      </c>
      <c r="B8" s="37" t="s">
        <v>423</v>
      </c>
      <c r="C8" s="37" t="s">
        <v>35</v>
      </c>
      <c r="D8" s="37" t="s">
        <v>36</v>
      </c>
      <c r="E8" s="37" t="s">
        <v>25</v>
      </c>
      <c r="F8" s="37" t="s">
        <v>25</v>
      </c>
      <c r="G8" s="37" t="s">
        <v>25</v>
      </c>
      <c r="H8" s="37" t="s">
        <v>25</v>
      </c>
      <c r="I8" s="37" t="s">
        <v>37</v>
      </c>
      <c r="J8" s="37" t="s">
        <v>570</v>
      </c>
      <c r="K8" s="37" t="s">
        <v>569</v>
      </c>
      <c r="L8" s="37" t="s">
        <v>72</v>
      </c>
      <c r="M8" s="37">
        <v>2021</v>
      </c>
      <c r="N8" s="37">
        <v>0</v>
      </c>
      <c r="O8" s="37">
        <v>1568.04</v>
      </c>
      <c r="P8" s="37">
        <v>50.984504088134898</v>
      </c>
    </row>
    <row r="9" spans="1:50" ht="11.25" customHeight="1" x14ac:dyDescent="0.3">
      <c r="A9" s="37">
        <v>8</v>
      </c>
      <c r="B9" s="37" t="s">
        <v>423</v>
      </c>
      <c r="C9" s="37" t="s">
        <v>35</v>
      </c>
      <c r="D9" s="37" t="s">
        <v>36</v>
      </c>
      <c r="E9" s="37" t="s">
        <v>25</v>
      </c>
      <c r="F9" s="37" t="s">
        <v>25</v>
      </c>
      <c r="G9" s="37" t="s">
        <v>25</v>
      </c>
      <c r="H9" s="37" t="s">
        <v>25</v>
      </c>
      <c r="I9" s="37" t="s">
        <v>38</v>
      </c>
      <c r="J9" s="37" t="s">
        <v>570</v>
      </c>
      <c r="K9" s="37" t="s">
        <v>569</v>
      </c>
      <c r="L9" s="37" t="s">
        <v>72</v>
      </c>
      <c r="M9" s="37">
        <v>2021</v>
      </c>
      <c r="N9" s="37">
        <v>0</v>
      </c>
      <c r="O9" s="37">
        <v>61.71</v>
      </c>
      <c r="P9" s="37">
        <v>50.984504088134898</v>
      </c>
    </row>
    <row r="10" spans="1:50" ht="11.25" customHeight="1" x14ac:dyDescent="0.3">
      <c r="A10" s="37">
        <v>9</v>
      </c>
      <c r="B10" s="37" t="s">
        <v>423</v>
      </c>
      <c r="C10" s="37" t="s">
        <v>35</v>
      </c>
      <c r="D10" s="37" t="s">
        <v>36</v>
      </c>
      <c r="E10" s="37" t="s">
        <v>25</v>
      </c>
      <c r="F10" s="37" t="s">
        <v>25</v>
      </c>
      <c r="G10" s="37" t="s">
        <v>80</v>
      </c>
      <c r="H10" s="37" t="s">
        <v>25</v>
      </c>
      <c r="I10" s="37" t="s">
        <v>37</v>
      </c>
      <c r="J10" s="37" t="s">
        <v>570</v>
      </c>
      <c r="K10" s="37" t="s">
        <v>569</v>
      </c>
      <c r="L10" s="37" t="s">
        <v>72</v>
      </c>
      <c r="M10" s="37">
        <v>2021</v>
      </c>
      <c r="N10" s="37">
        <v>0</v>
      </c>
      <c r="O10" s="37">
        <v>1507.92</v>
      </c>
      <c r="P10" s="37">
        <v>0</v>
      </c>
    </row>
    <row r="11" spans="1:50" ht="11.25" customHeight="1" x14ac:dyDescent="0.3">
      <c r="A11" s="37">
        <v>10</v>
      </c>
      <c r="B11" s="37" t="s">
        <v>423</v>
      </c>
      <c r="C11" s="37" t="s">
        <v>35</v>
      </c>
      <c r="D11" s="37" t="s">
        <v>36</v>
      </c>
      <c r="E11" s="37" t="s">
        <v>25</v>
      </c>
      <c r="F11" s="37" t="s">
        <v>25</v>
      </c>
      <c r="G11" s="37" t="s">
        <v>80</v>
      </c>
      <c r="H11" s="37" t="s">
        <v>25</v>
      </c>
      <c r="I11" s="37" t="s">
        <v>38</v>
      </c>
      <c r="J11" s="37" t="s">
        <v>570</v>
      </c>
      <c r="K11" s="37" t="s">
        <v>569</v>
      </c>
      <c r="L11" s="37" t="s">
        <v>72</v>
      </c>
      <c r="M11" s="37">
        <v>2021</v>
      </c>
      <c r="N11" s="37">
        <v>0</v>
      </c>
      <c r="O11" s="37">
        <v>1.58</v>
      </c>
      <c r="P11" s="37">
        <v>0</v>
      </c>
    </row>
    <row r="12" spans="1:50" ht="11.25" customHeight="1" x14ac:dyDescent="0.3">
      <c r="A12" s="37">
        <v>11</v>
      </c>
      <c r="B12" s="37" t="s">
        <v>423</v>
      </c>
      <c r="C12" s="37" t="s">
        <v>35</v>
      </c>
      <c r="D12" s="37" t="s">
        <v>23</v>
      </c>
      <c r="E12" s="37" t="s">
        <v>25</v>
      </c>
      <c r="F12" s="37" t="s">
        <v>25</v>
      </c>
      <c r="G12" s="37" t="s">
        <v>25</v>
      </c>
      <c r="H12" s="37" t="s">
        <v>25</v>
      </c>
      <c r="I12" s="37" t="s">
        <v>25</v>
      </c>
      <c r="J12" s="37" t="s">
        <v>568</v>
      </c>
      <c r="K12" s="37" t="s">
        <v>569</v>
      </c>
      <c r="L12" s="37" t="s">
        <v>76</v>
      </c>
      <c r="M12" s="37">
        <v>2021</v>
      </c>
      <c r="N12" s="37">
        <v>0</v>
      </c>
      <c r="O12" s="37">
        <v>0</v>
      </c>
      <c r="P12" s="37">
        <v>0</v>
      </c>
    </row>
    <row r="13" spans="1:50" ht="11.25" customHeight="1" x14ac:dyDescent="0.3">
      <c r="A13" s="37">
        <v>12</v>
      </c>
      <c r="B13" s="37" t="s">
        <v>423</v>
      </c>
      <c r="C13" s="37" t="s">
        <v>35</v>
      </c>
      <c r="D13" s="37" t="s">
        <v>23</v>
      </c>
      <c r="E13" s="37" t="s">
        <v>25</v>
      </c>
      <c r="F13" s="37" t="s">
        <v>25</v>
      </c>
      <c r="G13" s="37" t="s">
        <v>25</v>
      </c>
      <c r="H13" s="37" t="s">
        <v>25</v>
      </c>
      <c r="I13" s="37" t="s">
        <v>25</v>
      </c>
      <c r="J13" s="37" t="s">
        <v>570</v>
      </c>
      <c r="K13" s="37" t="s">
        <v>569</v>
      </c>
      <c r="L13" s="37" t="s">
        <v>72</v>
      </c>
      <c r="M13" s="37">
        <v>2021</v>
      </c>
      <c r="N13" s="37">
        <v>0</v>
      </c>
      <c r="O13" s="37">
        <v>60.77</v>
      </c>
      <c r="P13" s="37">
        <v>50.984504088134898</v>
      </c>
    </row>
    <row r="14" spans="1:50" ht="11.25" customHeight="1" x14ac:dyDescent="0.3">
      <c r="A14" s="37">
        <v>13</v>
      </c>
      <c r="B14" s="37" t="s">
        <v>423</v>
      </c>
      <c r="C14" s="37" t="s">
        <v>82</v>
      </c>
      <c r="D14" s="37" t="s">
        <v>81</v>
      </c>
      <c r="E14" s="37" t="s">
        <v>25</v>
      </c>
      <c r="F14" s="37" t="s">
        <v>25</v>
      </c>
      <c r="G14" s="37" t="s">
        <v>83</v>
      </c>
      <c r="H14" s="37" t="s">
        <v>25</v>
      </c>
      <c r="I14" s="37" t="s">
        <v>25</v>
      </c>
      <c r="J14" s="37" t="s">
        <v>568</v>
      </c>
      <c r="K14" s="37" t="s">
        <v>569</v>
      </c>
      <c r="L14" s="37" t="s">
        <v>76</v>
      </c>
      <c r="M14" s="37">
        <v>2021</v>
      </c>
      <c r="N14" s="37">
        <v>0</v>
      </c>
      <c r="O14" s="37">
        <v>4.46</v>
      </c>
      <c r="P14" s="37">
        <v>0</v>
      </c>
    </row>
    <row r="15" spans="1:50" ht="11.25" customHeight="1" x14ac:dyDescent="0.3">
      <c r="A15" s="37">
        <v>14</v>
      </c>
      <c r="B15" s="37" t="s">
        <v>423</v>
      </c>
      <c r="C15" s="37" t="s">
        <v>82</v>
      </c>
      <c r="D15" s="37" t="s">
        <v>81</v>
      </c>
      <c r="E15" s="37" t="s">
        <v>25</v>
      </c>
      <c r="F15" s="37" t="s">
        <v>25</v>
      </c>
      <c r="G15" s="37" t="s">
        <v>84</v>
      </c>
      <c r="H15" s="37" t="s">
        <v>25</v>
      </c>
      <c r="I15" s="37" t="s">
        <v>25</v>
      </c>
      <c r="J15" s="37" t="s">
        <v>568</v>
      </c>
      <c r="K15" s="37" t="s">
        <v>569</v>
      </c>
      <c r="L15" s="37" t="s">
        <v>76</v>
      </c>
      <c r="M15" s="37">
        <v>2021</v>
      </c>
      <c r="N15" s="37">
        <v>0</v>
      </c>
      <c r="O15" s="37">
        <v>9.0500000000000007</v>
      </c>
      <c r="P15" s="37">
        <v>0</v>
      </c>
    </row>
    <row r="16" spans="1:50" ht="11.25" customHeight="1" x14ac:dyDescent="0.3">
      <c r="A16" s="37">
        <v>15</v>
      </c>
      <c r="B16" s="37" t="s">
        <v>423</v>
      </c>
      <c r="C16" s="37" t="s">
        <v>22</v>
      </c>
      <c r="D16" s="37" t="s">
        <v>40</v>
      </c>
      <c r="E16" s="37" t="s">
        <v>24</v>
      </c>
      <c r="F16" s="37" t="s">
        <v>24</v>
      </c>
      <c r="G16" s="37" t="s">
        <v>25</v>
      </c>
      <c r="H16" s="37" t="s">
        <v>25</v>
      </c>
      <c r="I16" s="37" t="s">
        <v>37</v>
      </c>
      <c r="J16" s="37" t="s">
        <v>570</v>
      </c>
      <c r="K16" s="37" t="s">
        <v>569</v>
      </c>
      <c r="L16" s="37" t="s">
        <v>72</v>
      </c>
      <c r="M16" s="37">
        <v>2021</v>
      </c>
      <c r="N16" s="37">
        <v>0</v>
      </c>
      <c r="O16" s="37">
        <v>705.66</v>
      </c>
      <c r="P16" s="37">
        <v>58.602878262224003</v>
      </c>
    </row>
    <row r="17" spans="1:16" ht="11.25" customHeight="1" x14ac:dyDescent="0.3">
      <c r="A17" s="37">
        <v>16</v>
      </c>
      <c r="B17" s="37" t="s">
        <v>423</v>
      </c>
      <c r="C17" s="37" t="s">
        <v>22</v>
      </c>
      <c r="D17" s="37" t="s">
        <v>40</v>
      </c>
      <c r="E17" s="37" t="s">
        <v>24</v>
      </c>
      <c r="F17" s="37" t="s">
        <v>24</v>
      </c>
      <c r="G17" s="37" t="s">
        <v>25</v>
      </c>
      <c r="H17" s="37" t="s">
        <v>25</v>
      </c>
      <c r="I17" s="37" t="s">
        <v>41</v>
      </c>
      <c r="J17" s="37" t="s">
        <v>570</v>
      </c>
      <c r="K17" s="37" t="s">
        <v>569</v>
      </c>
      <c r="L17" s="37" t="s">
        <v>72</v>
      </c>
      <c r="M17" s="37">
        <v>2021</v>
      </c>
      <c r="N17" s="37">
        <v>0</v>
      </c>
      <c r="O17" s="37">
        <v>451.91</v>
      </c>
      <c r="P17" s="37">
        <v>58.602878262224003</v>
      </c>
    </row>
    <row r="18" spans="1:16" ht="11.25" customHeight="1" x14ac:dyDescent="0.3">
      <c r="A18" s="37">
        <v>17</v>
      </c>
      <c r="B18" s="37" t="s">
        <v>423</v>
      </c>
      <c r="C18" s="37" t="s">
        <v>22</v>
      </c>
      <c r="D18" s="37" t="s">
        <v>40</v>
      </c>
      <c r="E18" s="37" t="s">
        <v>24</v>
      </c>
      <c r="F18" s="37" t="s">
        <v>24</v>
      </c>
      <c r="G18" s="37" t="s">
        <v>25</v>
      </c>
      <c r="H18" s="37" t="s">
        <v>25</v>
      </c>
      <c r="I18" s="37" t="s">
        <v>38</v>
      </c>
      <c r="J18" s="37" t="s">
        <v>570</v>
      </c>
      <c r="K18" s="37" t="s">
        <v>569</v>
      </c>
      <c r="L18" s="37" t="s">
        <v>72</v>
      </c>
      <c r="M18" s="37">
        <v>2021</v>
      </c>
      <c r="N18" s="37">
        <v>0</v>
      </c>
      <c r="O18" s="37">
        <v>198.2</v>
      </c>
      <c r="P18" s="37">
        <v>58.602878262224003</v>
      </c>
    </row>
    <row r="19" spans="1:16" ht="11.25" customHeight="1" x14ac:dyDescent="0.3">
      <c r="A19" s="37">
        <v>18</v>
      </c>
      <c r="B19" s="37" t="s">
        <v>423</v>
      </c>
      <c r="C19" s="37" t="s">
        <v>22</v>
      </c>
      <c r="D19" s="37" t="s">
        <v>23</v>
      </c>
      <c r="E19" s="37" t="s">
        <v>24</v>
      </c>
      <c r="F19" s="37" t="s">
        <v>24</v>
      </c>
      <c r="G19" s="37" t="s">
        <v>25</v>
      </c>
      <c r="H19" s="37" t="s">
        <v>25</v>
      </c>
      <c r="I19" s="37" t="s">
        <v>25</v>
      </c>
      <c r="J19" s="37" t="s">
        <v>570</v>
      </c>
      <c r="K19" s="37" t="s">
        <v>569</v>
      </c>
      <c r="L19" s="37" t="s">
        <v>72</v>
      </c>
      <c r="M19" s="37">
        <v>2021</v>
      </c>
      <c r="N19" s="37">
        <v>0</v>
      </c>
      <c r="O19" s="37">
        <v>306.19</v>
      </c>
      <c r="P19" s="37">
        <v>58.602878262224003</v>
      </c>
    </row>
    <row r="20" spans="1:16" ht="11.25" customHeight="1" x14ac:dyDescent="0.3">
      <c r="A20" s="37">
        <v>19</v>
      </c>
      <c r="B20" s="37" t="s">
        <v>423</v>
      </c>
      <c r="C20" s="37" t="s">
        <v>22</v>
      </c>
      <c r="D20" s="37" t="s">
        <v>23</v>
      </c>
      <c r="E20" s="37" t="s">
        <v>24</v>
      </c>
      <c r="F20" s="37" t="s">
        <v>29</v>
      </c>
      <c r="G20" s="37" t="s">
        <v>25</v>
      </c>
      <c r="H20" s="37" t="s">
        <v>25</v>
      </c>
      <c r="I20" s="37" t="s">
        <v>25</v>
      </c>
      <c r="J20" s="37" t="s">
        <v>570</v>
      </c>
      <c r="K20" s="37" t="s">
        <v>569</v>
      </c>
      <c r="L20" s="37" t="s">
        <v>72</v>
      </c>
      <c r="M20" s="37">
        <v>2021</v>
      </c>
      <c r="N20" s="37">
        <v>0</v>
      </c>
      <c r="O20" s="37">
        <v>83.46</v>
      </c>
      <c r="P20" s="37">
        <v>0</v>
      </c>
    </row>
    <row r="21" spans="1:16" ht="11.25" customHeight="1" x14ac:dyDescent="0.3">
      <c r="A21" s="37">
        <v>20</v>
      </c>
      <c r="B21" s="37" t="s">
        <v>423</v>
      </c>
      <c r="C21" s="37" t="s">
        <v>22</v>
      </c>
      <c r="D21" s="37" t="s">
        <v>23</v>
      </c>
      <c r="E21" s="37" t="s">
        <v>24</v>
      </c>
      <c r="F21" s="37" t="s">
        <v>30</v>
      </c>
      <c r="G21" s="37" t="s">
        <v>25</v>
      </c>
      <c r="H21" s="37" t="s">
        <v>25</v>
      </c>
      <c r="I21" s="37" t="s">
        <v>25</v>
      </c>
      <c r="J21" s="37" t="s">
        <v>570</v>
      </c>
      <c r="K21" s="37" t="s">
        <v>569</v>
      </c>
      <c r="L21" s="37" t="s">
        <v>72</v>
      </c>
      <c r="M21" s="37">
        <v>2021</v>
      </c>
      <c r="N21" s="37">
        <v>0</v>
      </c>
      <c r="O21" s="37">
        <v>143.07</v>
      </c>
      <c r="P21" s="37">
        <v>0</v>
      </c>
    </row>
    <row r="22" spans="1:16" ht="11.25" customHeight="1" x14ac:dyDescent="0.3">
      <c r="A22" s="37">
        <v>21</v>
      </c>
      <c r="B22" s="37" t="s">
        <v>423</v>
      </c>
      <c r="C22" s="37" t="s">
        <v>22</v>
      </c>
      <c r="D22" s="37" t="s">
        <v>23</v>
      </c>
      <c r="E22" s="37" t="s">
        <v>24</v>
      </c>
      <c r="F22" s="37" t="s">
        <v>31</v>
      </c>
      <c r="G22" s="37" t="s">
        <v>25</v>
      </c>
      <c r="H22" s="37" t="s">
        <v>25</v>
      </c>
      <c r="I22" s="37" t="s">
        <v>25</v>
      </c>
      <c r="J22" s="37" t="s">
        <v>570</v>
      </c>
      <c r="K22" s="37" t="s">
        <v>569</v>
      </c>
      <c r="L22" s="37" t="s">
        <v>72</v>
      </c>
      <c r="M22" s="37">
        <v>2021</v>
      </c>
      <c r="N22" s="37">
        <v>0</v>
      </c>
      <c r="O22" s="37">
        <v>214.6</v>
      </c>
      <c r="P22" s="37">
        <v>0</v>
      </c>
    </row>
    <row r="23" spans="1:16" ht="11.25" customHeight="1" x14ac:dyDescent="0.3">
      <c r="A23" s="37">
        <v>22</v>
      </c>
      <c r="B23" s="37" t="s">
        <v>423</v>
      </c>
      <c r="C23" s="37" t="s">
        <v>22</v>
      </c>
      <c r="D23" s="37" t="s">
        <v>23</v>
      </c>
      <c r="E23" s="37" t="s">
        <v>24</v>
      </c>
      <c r="F23" s="37" t="s">
        <v>32</v>
      </c>
      <c r="G23" s="37" t="s">
        <v>25</v>
      </c>
      <c r="H23" s="37" t="s">
        <v>25</v>
      </c>
      <c r="I23" s="37" t="s">
        <v>25</v>
      </c>
      <c r="J23" s="37" t="s">
        <v>570</v>
      </c>
      <c r="K23" s="37" t="s">
        <v>569</v>
      </c>
      <c r="L23" s="37" t="s">
        <v>72</v>
      </c>
      <c r="M23" s="37">
        <v>2021</v>
      </c>
      <c r="N23" s="37">
        <v>0</v>
      </c>
      <c r="O23" s="37">
        <v>238.45</v>
      </c>
      <c r="P23" s="37">
        <v>0</v>
      </c>
    </row>
    <row r="24" spans="1:16" ht="11.25" customHeight="1" x14ac:dyDescent="0.3">
      <c r="A24" s="37">
        <v>23</v>
      </c>
      <c r="B24" s="37" t="s">
        <v>423</v>
      </c>
      <c r="C24" s="37" t="s">
        <v>22</v>
      </c>
      <c r="D24" s="37" t="s">
        <v>88</v>
      </c>
      <c r="E24" s="37" t="s">
        <v>24</v>
      </c>
      <c r="F24" s="37" t="s">
        <v>24</v>
      </c>
      <c r="G24" s="37" t="s">
        <v>25</v>
      </c>
      <c r="H24" s="37" t="s">
        <v>25</v>
      </c>
      <c r="I24" s="37" t="s">
        <v>25</v>
      </c>
      <c r="J24" s="37" t="s">
        <v>570</v>
      </c>
      <c r="K24" s="37" t="s">
        <v>569</v>
      </c>
      <c r="L24" s="37" t="s">
        <v>72</v>
      </c>
      <c r="M24" s="37">
        <v>2021</v>
      </c>
      <c r="N24" s="37">
        <v>0</v>
      </c>
      <c r="O24" s="37">
        <v>306.19</v>
      </c>
      <c r="P24" s="37">
        <v>58.602878262224003</v>
      </c>
    </row>
    <row r="25" spans="1:16" ht="11.25" customHeight="1" x14ac:dyDescent="0.3">
      <c r="A25" s="37">
        <v>24</v>
      </c>
      <c r="B25" s="37" t="s">
        <v>423</v>
      </c>
      <c r="C25" s="37" t="s">
        <v>22</v>
      </c>
      <c r="D25" s="37" t="s">
        <v>88</v>
      </c>
      <c r="E25" s="37" t="s">
        <v>24</v>
      </c>
      <c r="F25" s="37" t="s">
        <v>29</v>
      </c>
      <c r="G25" s="37" t="s">
        <v>25</v>
      </c>
      <c r="H25" s="37" t="s">
        <v>25</v>
      </c>
      <c r="I25" s="37" t="s">
        <v>25</v>
      </c>
      <c r="J25" s="37" t="s">
        <v>570</v>
      </c>
      <c r="K25" s="37" t="s">
        <v>569</v>
      </c>
      <c r="L25" s="37" t="s">
        <v>72</v>
      </c>
      <c r="M25" s="37">
        <v>2021</v>
      </c>
      <c r="N25" s="37">
        <v>0</v>
      </c>
      <c r="O25" s="37">
        <v>83.46</v>
      </c>
      <c r="P25" s="37">
        <v>0</v>
      </c>
    </row>
    <row r="26" spans="1:16" ht="11.25" customHeight="1" x14ac:dyDescent="0.3">
      <c r="A26" s="37">
        <v>25</v>
      </c>
      <c r="B26" s="37" t="s">
        <v>423</v>
      </c>
      <c r="C26" s="37" t="s">
        <v>22</v>
      </c>
      <c r="D26" s="37" t="s">
        <v>88</v>
      </c>
      <c r="E26" s="37" t="s">
        <v>24</v>
      </c>
      <c r="F26" s="37" t="s">
        <v>30</v>
      </c>
      <c r="G26" s="37" t="s">
        <v>25</v>
      </c>
      <c r="H26" s="37" t="s">
        <v>25</v>
      </c>
      <c r="I26" s="37" t="s">
        <v>25</v>
      </c>
      <c r="J26" s="37" t="s">
        <v>570</v>
      </c>
      <c r="K26" s="37" t="s">
        <v>569</v>
      </c>
      <c r="L26" s="37" t="s">
        <v>72</v>
      </c>
      <c r="M26" s="37">
        <v>2021</v>
      </c>
      <c r="N26" s="37">
        <v>0</v>
      </c>
      <c r="O26" s="37">
        <v>143.07</v>
      </c>
      <c r="P26" s="37">
        <v>0</v>
      </c>
    </row>
    <row r="27" spans="1:16" ht="11.25" customHeight="1" x14ac:dyDescent="0.3">
      <c r="A27" s="37">
        <v>26</v>
      </c>
      <c r="B27" s="37" t="s">
        <v>423</v>
      </c>
      <c r="C27" s="37" t="s">
        <v>22</v>
      </c>
      <c r="D27" s="37" t="s">
        <v>88</v>
      </c>
      <c r="E27" s="37" t="s">
        <v>24</v>
      </c>
      <c r="F27" s="37" t="s">
        <v>31</v>
      </c>
      <c r="G27" s="37" t="s">
        <v>25</v>
      </c>
      <c r="H27" s="37" t="s">
        <v>25</v>
      </c>
      <c r="I27" s="37" t="s">
        <v>25</v>
      </c>
      <c r="J27" s="37" t="s">
        <v>570</v>
      </c>
      <c r="K27" s="37" t="s">
        <v>569</v>
      </c>
      <c r="L27" s="37" t="s">
        <v>72</v>
      </c>
      <c r="M27" s="37">
        <v>2021</v>
      </c>
      <c r="N27" s="37">
        <v>0</v>
      </c>
      <c r="O27" s="37">
        <v>214.6</v>
      </c>
      <c r="P27" s="37">
        <v>0</v>
      </c>
    </row>
    <row r="28" spans="1:16" ht="11.25" customHeight="1" x14ac:dyDescent="0.3">
      <c r="A28" s="37">
        <v>27</v>
      </c>
      <c r="B28" s="37" t="s">
        <v>423</v>
      </c>
      <c r="C28" s="37" t="s">
        <v>22</v>
      </c>
      <c r="D28" s="37" t="s">
        <v>88</v>
      </c>
      <c r="E28" s="37" t="s">
        <v>24</v>
      </c>
      <c r="F28" s="37" t="s">
        <v>32</v>
      </c>
      <c r="G28" s="37" t="s">
        <v>25</v>
      </c>
      <c r="H28" s="37" t="s">
        <v>25</v>
      </c>
      <c r="I28" s="37" t="s">
        <v>25</v>
      </c>
      <c r="J28" s="37" t="s">
        <v>570</v>
      </c>
      <c r="K28" s="37" t="s">
        <v>569</v>
      </c>
      <c r="L28" s="37" t="s">
        <v>72</v>
      </c>
      <c r="M28" s="37">
        <v>2021</v>
      </c>
      <c r="N28" s="37">
        <v>0</v>
      </c>
      <c r="O28" s="37">
        <v>238.45</v>
      </c>
      <c r="P28" s="37">
        <v>0</v>
      </c>
    </row>
    <row r="29" spans="1:16" ht="11.25" customHeight="1" x14ac:dyDescent="0.3">
      <c r="A29" s="37">
        <v>28</v>
      </c>
      <c r="B29" s="37" t="s">
        <v>423</v>
      </c>
      <c r="C29" s="37" t="s">
        <v>42</v>
      </c>
      <c r="D29" s="37" t="s">
        <v>40</v>
      </c>
      <c r="E29" s="37" t="s">
        <v>43</v>
      </c>
      <c r="F29" s="37" t="s">
        <v>25</v>
      </c>
      <c r="G29" s="37" t="s">
        <v>25</v>
      </c>
      <c r="H29" s="37" t="s">
        <v>25</v>
      </c>
      <c r="I29" s="37" t="s">
        <v>37</v>
      </c>
      <c r="J29" s="37" t="s">
        <v>570</v>
      </c>
      <c r="K29" s="37" t="s">
        <v>569</v>
      </c>
      <c r="L29" s="37" t="s">
        <v>72</v>
      </c>
      <c r="M29" s="37">
        <v>2021</v>
      </c>
      <c r="N29" s="37">
        <v>0</v>
      </c>
      <c r="O29" s="37">
        <v>672.58</v>
      </c>
      <c r="P29" s="37">
        <v>51.570532870757198</v>
      </c>
    </row>
    <row r="30" spans="1:16" ht="11.25" customHeight="1" x14ac:dyDescent="0.3">
      <c r="A30" s="37">
        <v>29</v>
      </c>
      <c r="B30" s="37" t="s">
        <v>423</v>
      </c>
      <c r="C30" s="37" t="s">
        <v>42</v>
      </c>
      <c r="D30" s="37" t="s">
        <v>40</v>
      </c>
      <c r="E30" s="37" t="s">
        <v>43</v>
      </c>
      <c r="F30" s="37" t="s">
        <v>25</v>
      </c>
      <c r="G30" s="37" t="s">
        <v>25</v>
      </c>
      <c r="H30" s="37" t="s">
        <v>25</v>
      </c>
      <c r="I30" s="37" t="s">
        <v>41</v>
      </c>
      <c r="J30" s="37" t="s">
        <v>570</v>
      </c>
      <c r="K30" s="37" t="s">
        <v>569</v>
      </c>
      <c r="L30" s="37" t="s">
        <v>72</v>
      </c>
      <c r="M30" s="37">
        <v>2021</v>
      </c>
      <c r="N30" s="37">
        <v>0</v>
      </c>
      <c r="O30" s="37">
        <v>428.62</v>
      </c>
      <c r="P30" s="37">
        <v>51.570532870757198</v>
      </c>
    </row>
    <row r="31" spans="1:16" ht="11.25" customHeight="1" x14ac:dyDescent="0.3">
      <c r="A31" s="37">
        <v>30</v>
      </c>
      <c r="B31" s="37" t="s">
        <v>423</v>
      </c>
      <c r="C31" s="37" t="s">
        <v>42</v>
      </c>
      <c r="D31" s="37" t="s">
        <v>40</v>
      </c>
      <c r="E31" s="37" t="s">
        <v>43</v>
      </c>
      <c r="F31" s="37" t="s">
        <v>25</v>
      </c>
      <c r="G31" s="37" t="s">
        <v>25</v>
      </c>
      <c r="H31" s="37" t="s">
        <v>25</v>
      </c>
      <c r="I31" s="37" t="s">
        <v>38</v>
      </c>
      <c r="J31" s="37" t="s">
        <v>570</v>
      </c>
      <c r="K31" s="37" t="s">
        <v>569</v>
      </c>
      <c r="L31" s="37" t="s">
        <v>72</v>
      </c>
      <c r="M31" s="37">
        <v>2021</v>
      </c>
      <c r="N31" s="37">
        <v>0</v>
      </c>
      <c r="O31" s="37">
        <v>184.66</v>
      </c>
      <c r="P31" s="37">
        <v>51.570532870757198</v>
      </c>
    </row>
    <row r="32" spans="1:16" ht="11.25" customHeight="1" x14ac:dyDescent="0.3">
      <c r="A32" s="37">
        <v>31</v>
      </c>
      <c r="B32" s="37" t="s">
        <v>423</v>
      </c>
      <c r="C32" s="37" t="s">
        <v>42</v>
      </c>
      <c r="D32" s="37" t="s">
        <v>23</v>
      </c>
      <c r="E32" s="37" t="s">
        <v>43</v>
      </c>
      <c r="F32" s="37" t="s">
        <v>25</v>
      </c>
      <c r="G32" s="37" t="s">
        <v>25</v>
      </c>
      <c r="H32" s="37" t="s">
        <v>25</v>
      </c>
      <c r="I32" s="37" t="s">
        <v>25</v>
      </c>
      <c r="J32" s="37" t="s">
        <v>570</v>
      </c>
      <c r="K32" s="37" t="s">
        <v>569</v>
      </c>
      <c r="L32" s="37" t="s">
        <v>72</v>
      </c>
      <c r="M32" s="37">
        <v>2021</v>
      </c>
      <c r="N32" s="37">
        <v>0</v>
      </c>
      <c r="O32" s="37">
        <v>269.45</v>
      </c>
      <c r="P32" s="37">
        <v>51.570532870757198</v>
      </c>
    </row>
    <row r="33" spans="1:16" ht="11.25" customHeight="1" x14ac:dyDescent="0.3">
      <c r="A33" s="37">
        <v>32</v>
      </c>
      <c r="B33" s="37" t="s">
        <v>423</v>
      </c>
      <c r="C33" s="37" t="s">
        <v>42</v>
      </c>
      <c r="D33" s="37" t="s">
        <v>40</v>
      </c>
      <c r="E33" s="37" t="s">
        <v>43</v>
      </c>
      <c r="F33" s="37" t="s">
        <v>89</v>
      </c>
      <c r="G33" s="37" t="s">
        <v>25</v>
      </c>
      <c r="H33" s="37" t="s">
        <v>25</v>
      </c>
      <c r="I33" s="37" t="s">
        <v>37</v>
      </c>
      <c r="J33" s="37" t="s">
        <v>570</v>
      </c>
      <c r="K33" s="37" t="s">
        <v>569</v>
      </c>
      <c r="L33" s="37" t="s">
        <v>72</v>
      </c>
      <c r="M33" s="37">
        <v>2021</v>
      </c>
      <c r="N33" s="37">
        <v>0</v>
      </c>
      <c r="O33" s="37">
        <v>672.58</v>
      </c>
      <c r="P33" s="37">
        <v>51.570532870757198</v>
      </c>
    </row>
    <row r="34" spans="1:16" ht="11.25" customHeight="1" x14ac:dyDescent="0.3">
      <c r="A34" s="37">
        <v>33</v>
      </c>
      <c r="B34" s="37" t="s">
        <v>423</v>
      </c>
      <c r="C34" s="37" t="s">
        <v>42</v>
      </c>
      <c r="D34" s="37" t="s">
        <v>40</v>
      </c>
      <c r="E34" s="37" t="s">
        <v>43</v>
      </c>
      <c r="F34" s="37" t="s">
        <v>89</v>
      </c>
      <c r="G34" s="37" t="s">
        <v>25</v>
      </c>
      <c r="H34" s="37" t="s">
        <v>25</v>
      </c>
      <c r="I34" s="37" t="s">
        <v>41</v>
      </c>
      <c r="J34" s="37" t="s">
        <v>570</v>
      </c>
      <c r="K34" s="37" t="s">
        <v>569</v>
      </c>
      <c r="L34" s="37" t="s">
        <v>72</v>
      </c>
      <c r="M34" s="37">
        <v>2021</v>
      </c>
      <c r="N34" s="37">
        <v>0</v>
      </c>
      <c r="O34" s="37">
        <v>428.62</v>
      </c>
      <c r="P34" s="37">
        <v>51.570532870757198</v>
      </c>
    </row>
    <row r="35" spans="1:16" ht="11.25" customHeight="1" x14ac:dyDescent="0.3">
      <c r="A35" s="37">
        <v>34</v>
      </c>
      <c r="B35" s="37" t="s">
        <v>423</v>
      </c>
      <c r="C35" s="37" t="s">
        <v>42</v>
      </c>
      <c r="D35" s="37" t="s">
        <v>40</v>
      </c>
      <c r="E35" s="37" t="s">
        <v>43</v>
      </c>
      <c r="F35" s="37" t="s">
        <v>89</v>
      </c>
      <c r="G35" s="37" t="s">
        <v>25</v>
      </c>
      <c r="H35" s="37" t="s">
        <v>25</v>
      </c>
      <c r="I35" s="37" t="s">
        <v>38</v>
      </c>
      <c r="J35" s="37" t="s">
        <v>570</v>
      </c>
      <c r="K35" s="37" t="s">
        <v>569</v>
      </c>
      <c r="L35" s="37" t="s">
        <v>72</v>
      </c>
      <c r="M35" s="37">
        <v>2021</v>
      </c>
      <c r="N35" s="37">
        <v>0</v>
      </c>
      <c r="O35" s="37">
        <v>184.66</v>
      </c>
      <c r="P35" s="37">
        <v>51.570532870757198</v>
      </c>
    </row>
    <row r="36" spans="1:16" ht="11.25" customHeight="1" x14ac:dyDescent="0.3">
      <c r="A36" s="37">
        <v>35</v>
      </c>
      <c r="B36" s="37" t="s">
        <v>423</v>
      </c>
      <c r="C36" s="37" t="s">
        <v>42</v>
      </c>
      <c r="D36" s="37" t="s">
        <v>23</v>
      </c>
      <c r="E36" s="37" t="s">
        <v>43</v>
      </c>
      <c r="F36" s="37" t="s">
        <v>89</v>
      </c>
      <c r="G36" s="37" t="s">
        <v>25</v>
      </c>
      <c r="H36" s="37" t="s">
        <v>25</v>
      </c>
      <c r="I36" s="37" t="s">
        <v>25</v>
      </c>
      <c r="J36" s="37" t="s">
        <v>570</v>
      </c>
      <c r="K36" s="37" t="s">
        <v>569</v>
      </c>
      <c r="L36" s="37" t="s">
        <v>72</v>
      </c>
      <c r="M36" s="37">
        <v>2021</v>
      </c>
      <c r="N36" s="37">
        <v>0</v>
      </c>
      <c r="O36" s="37">
        <v>269.45</v>
      </c>
      <c r="P36" s="37">
        <v>51.570532870757198</v>
      </c>
    </row>
    <row r="37" spans="1:16" ht="11.25" customHeight="1" x14ac:dyDescent="0.3">
      <c r="A37" s="37">
        <v>36</v>
      </c>
      <c r="B37" s="37" t="s">
        <v>423</v>
      </c>
      <c r="C37" s="37" t="s">
        <v>42</v>
      </c>
      <c r="D37" s="37" t="s">
        <v>40</v>
      </c>
      <c r="E37" s="37" t="s">
        <v>43</v>
      </c>
      <c r="F37" s="37" t="s">
        <v>90</v>
      </c>
      <c r="G37" s="37" t="s">
        <v>25</v>
      </c>
      <c r="H37" s="37" t="s">
        <v>25</v>
      </c>
      <c r="I37" s="37" t="s">
        <v>37</v>
      </c>
      <c r="J37" s="37" t="s">
        <v>570</v>
      </c>
      <c r="K37" s="37" t="s">
        <v>569</v>
      </c>
      <c r="L37" s="37" t="s">
        <v>72</v>
      </c>
      <c r="M37" s="37">
        <v>2021</v>
      </c>
      <c r="N37" s="37">
        <v>0</v>
      </c>
      <c r="O37" s="37">
        <v>642</v>
      </c>
      <c r="P37" s="37">
        <v>49.226417740268197</v>
      </c>
    </row>
    <row r="38" spans="1:16" ht="11.25" customHeight="1" x14ac:dyDescent="0.3">
      <c r="A38" s="37">
        <v>37</v>
      </c>
      <c r="B38" s="37" t="s">
        <v>423</v>
      </c>
      <c r="C38" s="37" t="s">
        <v>42</v>
      </c>
      <c r="D38" s="37" t="s">
        <v>40</v>
      </c>
      <c r="E38" s="37" t="s">
        <v>43</v>
      </c>
      <c r="F38" s="37" t="s">
        <v>90</v>
      </c>
      <c r="G38" s="37" t="s">
        <v>25</v>
      </c>
      <c r="H38" s="37" t="s">
        <v>25</v>
      </c>
      <c r="I38" s="37" t="s">
        <v>41</v>
      </c>
      <c r="J38" s="37" t="s">
        <v>570</v>
      </c>
      <c r="K38" s="37" t="s">
        <v>569</v>
      </c>
      <c r="L38" s="37" t="s">
        <v>72</v>
      </c>
      <c r="M38" s="37">
        <v>2021</v>
      </c>
      <c r="N38" s="37">
        <v>0</v>
      </c>
      <c r="O38" s="37">
        <v>409.13</v>
      </c>
      <c r="P38" s="37">
        <v>49.226417740268197</v>
      </c>
    </row>
    <row r="39" spans="1:16" ht="11.25" customHeight="1" x14ac:dyDescent="0.3">
      <c r="A39" s="37">
        <v>38</v>
      </c>
      <c r="B39" s="37" t="s">
        <v>423</v>
      </c>
      <c r="C39" s="37" t="s">
        <v>42</v>
      </c>
      <c r="D39" s="37" t="s">
        <v>40</v>
      </c>
      <c r="E39" s="37" t="s">
        <v>43</v>
      </c>
      <c r="F39" s="37" t="s">
        <v>90</v>
      </c>
      <c r="G39" s="37" t="s">
        <v>25</v>
      </c>
      <c r="H39" s="37" t="s">
        <v>25</v>
      </c>
      <c r="I39" s="37" t="s">
        <v>38</v>
      </c>
      <c r="J39" s="37" t="s">
        <v>570</v>
      </c>
      <c r="K39" s="37" t="s">
        <v>569</v>
      </c>
      <c r="L39" s="37" t="s">
        <v>72</v>
      </c>
      <c r="M39" s="37">
        <v>2021</v>
      </c>
      <c r="N39" s="37">
        <v>0</v>
      </c>
      <c r="O39" s="37">
        <v>176.26</v>
      </c>
      <c r="P39" s="37">
        <v>49.226417740268197</v>
      </c>
    </row>
    <row r="40" spans="1:16" ht="11.25" customHeight="1" x14ac:dyDescent="0.3">
      <c r="A40" s="37">
        <v>39</v>
      </c>
      <c r="B40" s="37" t="s">
        <v>423</v>
      </c>
      <c r="C40" s="37" t="s">
        <v>42</v>
      </c>
      <c r="D40" s="37" t="s">
        <v>23</v>
      </c>
      <c r="E40" s="37" t="s">
        <v>43</v>
      </c>
      <c r="F40" s="37" t="s">
        <v>90</v>
      </c>
      <c r="G40" s="37" t="s">
        <v>25</v>
      </c>
      <c r="H40" s="37" t="s">
        <v>25</v>
      </c>
      <c r="I40" s="37" t="s">
        <v>25</v>
      </c>
      <c r="J40" s="37" t="s">
        <v>570</v>
      </c>
      <c r="K40" s="37" t="s">
        <v>569</v>
      </c>
      <c r="L40" s="37" t="s">
        <v>72</v>
      </c>
      <c r="M40" s="37">
        <v>2021</v>
      </c>
      <c r="N40" s="37">
        <v>0</v>
      </c>
      <c r="O40" s="37">
        <v>257.2</v>
      </c>
      <c r="P40" s="37">
        <v>49.226417740268197</v>
      </c>
    </row>
    <row r="41" spans="1:16" ht="11.25" customHeight="1" x14ac:dyDescent="0.3">
      <c r="A41" s="37">
        <v>40</v>
      </c>
      <c r="B41" s="37" t="s">
        <v>423</v>
      </c>
      <c r="C41" s="37" t="s">
        <v>42</v>
      </c>
      <c r="D41" s="37" t="s">
        <v>88</v>
      </c>
      <c r="E41" s="37" t="s">
        <v>43</v>
      </c>
      <c r="F41" s="37" t="s">
        <v>25</v>
      </c>
      <c r="G41" s="37" t="s">
        <v>25</v>
      </c>
      <c r="H41" s="37" t="s">
        <v>25</v>
      </c>
      <c r="I41" s="37" t="s">
        <v>25</v>
      </c>
      <c r="J41" s="37" t="s">
        <v>570</v>
      </c>
      <c r="K41" s="37" t="s">
        <v>569</v>
      </c>
      <c r="L41" s="37" t="s">
        <v>72</v>
      </c>
      <c r="M41" s="37">
        <v>2021</v>
      </c>
      <c r="N41" s="37">
        <v>0</v>
      </c>
      <c r="O41" s="37">
        <v>269.45</v>
      </c>
      <c r="P41" s="37">
        <v>51.570532870757198</v>
      </c>
    </row>
    <row r="42" spans="1:16" ht="11.25" customHeight="1" x14ac:dyDescent="0.3">
      <c r="A42" s="37">
        <v>41</v>
      </c>
      <c r="B42" s="37" t="s">
        <v>423</v>
      </c>
      <c r="C42" s="37" t="s">
        <v>42</v>
      </c>
      <c r="D42" s="37" t="s">
        <v>88</v>
      </c>
      <c r="E42" s="37" t="s">
        <v>43</v>
      </c>
      <c r="F42" s="37" t="s">
        <v>89</v>
      </c>
      <c r="G42" s="37" t="s">
        <v>25</v>
      </c>
      <c r="H42" s="37" t="s">
        <v>25</v>
      </c>
      <c r="I42" s="37" t="s">
        <v>25</v>
      </c>
      <c r="J42" s="37" t="s">
        <v>570</v>
      </c>
      <c r="K42" s="37" t="s">
        <v>569</v>
      </c>
      <c r="L42" s="37" t="s">
        <v>72</v>
      </c>
      <c r="M42" s="37">
        <v>2021</v>
      </c>
      <c r="N42" s="37">
        <v>0</v>
      </c>
      <c r="O42" s="37">
        <v>269.45</v>
      </c>
      <c r="P42" s="37">
        <v>51.570532870757198</v>
      </c>
    </row>
    <row r="43" spans="1:16" ht="11.25" customHeight="1" x14ac:dyDescent="0.3">
      <c r="A43" s="37">
        <v>42</v>
      </c>
      <c r="B43" s="37" t="s">
        <v>423</v>
      </c>
      <c r="C43" s="37" t="s">
        <v>42</v>
      </c>
      <c r="D43" s="37" t="s">
        <v>88</v>
      </c>
      <c r="E43" s="37" t="s">
        <v>43</v>
      </c>
      <c r="F43" s="37" t="s">
        <v>90</v>
      </c>
      <c r="G43" s="37" t="s">
        <v>25</v>
      </c>
      <c r="H43" s="37" t="s">
        <v>25</v>
      </c>
      <c r="I43" s="37" t="s">
        <v>25</v>
      </c>
      <c r="J43" s="37" t="s">
        <v>570</v>
      </c>
      <c r="K43" s="37" t="s">
        <v>569</v>
      </c>
      <c r="L43" s="37" t="s">
        <v>72</v>
      </c>
      <c r="M43" s="37">
        <v>2021</v>
      </c>
      <c r="N43" s="37">
        <v>0</v>
      </c>
      <c r="O43" s="37">
        <v>257.2</v>
      </c>
      <c r="P43" s="37">
        <v>49.226417740268197</v>
      </c>
    </row>
    <row r="44" spans="1:16" ht="11.25" customHeight="1" x14ac:dyDescent="0.3">
      <c r="A44" s="37">
        <v>43</v>
      </c>
      <c r="B44" s="37" t="s">
        <v>423</v>
      </c>
      <c r="C44" s="37" t="s">
        <v>33</v>
      </c>
      <c r="D44" s="37" t="s">
        <v>40</v>
      </c>
      <c r="E44" s="37" t="s">
        <v>25</v>
      </c>
      <c r="F44" s="37" t="s">
        <v>25</v>
      </c>
      <c r="G44" s="37" t="s">
        <v>25</v>
      </c>
      <c r="H44" s="37" t="s">
        <v>25</v>
      </c>
      <c r="I44" s="37" t="s">
        <v>37</v>
      </c>
      <c r="J44" s="37" t="s">
        <v>570</v>
      </c>
      <c r="K44" s="37" t="s">
        <v>569</v>
      </c>
      <c r="L44" s="37" t="s">
        <v>72</v>
      </c>
      <c r="M44" s="37">
        <v>2021</v>
      </c>
      <c r="N44" s="37">
        <v>0</v>
      </c>
      <c r="O44" s="37">
        <v>881.82</v>
      </c>
      <c r="P44" s="37">
        <v>58.602878262224003</v>
      </c>
    </row>
    <row r="45" spans="1:16" ht="11.25" customHeight="1" x14ac:dyDescent="0.3">
      <c r="A45" s="37">
        <v>44</v>
      </c>
      <c r="B45" s="37" t="s">
        <v>423</v>
      </c>
      <c r="C45" s="37" t="s">
        <v>33</v>
      </c>
      <c r="D45" s="37" t="s">
        <v>40</v>
      </c>
      <c r="E45" s="37" t="s">
        <v>25</v>
      </c>
      <c r="F45" s="37" t="s">
        <v>25</v>
      </c>
      <c r="G45" s="37" t="s">
        <v>25</v>
      </c>
      <c r="H45" s="37" t="s">
        <v>25</v>
      </c>
      <c r="I45" s="37" t="s">
        <v>41</v>
      </c>
      <c r="J45" s="37" t="s">
        <v>570</v>
      </c>
      <c r="K45" s="37" t="s">
        <v>569</v>
      </c>
      <c r="L45" s="37" t="s">
        <v>72</v>
      </c>
      <c r="M45" s="37">
        <v>2021</v>
      </c>
      <c r="N45" s="37">
        <v>0</v>
      </c>
      <c r="O45" s="37">
        <v>557.55999999999995</v>
      </c>
      <c r="P45" s="37">
        <v>58.602878262224003</v>
      </c>
    </row>
    <row r="46" spans="1:16" ht="11.25" customHeight="1" x14ac:dyDescent="0.3">
      <c r="A46" s="37">
        <v>45</v>
      </c>
      <c r="B46" s="37" t="s">
        <v>423</v>
      </c>
      <c r="C46" s="37" t="s">
        <v>33</v>
      </c>
      <c r="D46" s="37" t="s">
        <v>40</v>
      </c>
      <c r="E46" s="37" t="s">
        <v>25</v>
      </c>
      <c r="F46" s="37" t="s">
        <v>25</v>
      </c>
      <c r="G46" s="37" t="s">
        <v>25</v>
      </c>
      <c r="H46" s="37" t="s">
        <v>25</v>
      </c>
      <c r="I46" s="37" t="s">
        <v>38</v>
      </c>
      <c r="J46" s="37" t="s">
        <v>570</v>
      </c>
      <c r="K46" s="37" t="s">
        <v>569</v>
      </c>
      <c r="L46" s="37" t="s">
        <v>72</v>
      </c>
      <c r="M46" s="37">
        <v>2021</v>
      </c>
      <c r="N46" s="37">
        <v>0</v>
      </c>
      <c r="O46" s="37">
        <v>233.35</v>
      </c>
      <c r="P46" s="37">
        <v>58.602878262224003</v>
      </c>
    </row>
    <row r="47" spans="1:16" ht="11.25" customHeight="1" x14ac:dyDescent="0.3">
      <c r="A47" s="37">
        <v>46</v>
      </c>
      <c r="B47" s="37" t="s">
        <v>423</v>
      </c>
      <c r="C47" s="37" t="s">
        <v>33</v>
      </c>
      <c r="D47" s="37" t="s">
        <v>23</v>
      </c>
      <c r="E47" s="37" t="s">
        <v>25</v>
      </c>
      <c r="F47" s="37" t="s">
        <v>25</v>
      </c>
      <c r="G47" s="37" t="s">
        <v>25</v>
      </c>
      <c r="H47" s="37" t="s">
        <v>25</v>
      </c>
      <c r="I47" s="37" t="s">
        <v>25</v>
      </c>
      <c r="J47" s="37" t="s">
        <v>570</v>
      </c>
      <c r="K47" s="37" t="s">
        <v>569</v>
      </c>
      <c r="L47" s="37" t="s">
        <v>72</v>
      </c>
      <c r="M47" s="37">
        <v>2021</v>
      </c>
      <c r="N47" s="37">
        <v>0</v>
      </c>
      <c r="O47" s="37">
        <v>306.19</v>
      </c>
      <c r="P47" s="37">
        <v>58.602878262224003</v>
      </c>
    </row>
    <row r="48" spans="1:16" ht="11.25" customHeight="1" x14ac:dyDescent="0.3">
      <c r="A48" s="37">
        <v>47</v>
      </c>
      <c r="B48" s="37" t="s">
        <v>423</v>
      </c>
      <c r="C48" s="37" t="s">
        <v>33</v>
      </c>
      <c r="D48" s="37" t="s">
        <v>88</v>
      </c>
      <c r="E48" s="37" t="s">
        <v>25</v>
      </c>
      <c r="F48" s="37" t="s">
        <v>25</v>
      </c>
      <c r="G48" s="37" t="s">
        <v>25</v>
      </c>
      <c r="H48" s="37" t="s">
        <v>25</v>
      </c>
      <c r="I48" s="37" t="s">
        <v>25</v>
      </c>
      <c r="J48" s="37" t="s">
        <v>570</v>
      </c>
      <c r="K48" s="37" t="s">
        <v>569</v>
      </c>
      <c r="L48" s="37" t="s">
        <v>72</v>
      </c>
      <c r="M48" s="37">
        <v>2021</v>
      </c>
      <c r="N48" s="37">
        <v>0</v>
      </c>
      <c r="O48" s="37">
        <v>306.19</v>
      </c>
      <c r="P48" s="37">
        <v>58.602878262224003</v>
      </c>
    </row>
    <row r="49" spans="1:16" ht="11.25" customHeight="1" x14ac:dyDescent="0.3">
      <c r="A49" s="37">
        <v>48</v>
      </c>
      <c r="B49" s="37" t="s">
        <v>423</v>
      </c>
      <c r="C49" s="37" t="s">
        <v>45</v>
      </c>
      <c r="D49" s="37" t="s">
        <v>23</v>
      </c>
      <c r="E49" s="37" t="s">
        <v>46</v>
      </c>
      <c r="F49" s="37" t="s">
        <v>47</v>
      </c>
      <c r="G49" s="37" t="s">
        <v>25</v>
      </c>
      <c r="H49" s="37" t="s">
        <v>25</v>
      </c>
      <c r="I49" s="37" t="s">
        <v>25</v>
      </c>
      <c r="J49" s="37" t="s">
        <v>570</v>
      </c>
      <c r="K49" s="37" t="s">
        <v>569</v>
      </c>
      <c r="L49" s="37" t="s">
        <v>72</v>
      </c>
      <c r="M49" s="37">
        <v>2021</v>
      </c>
      <c r="N49" s="37">
        <v>0</v>
      </c>
      <c r="O49" s="37">
        <v>168.4</v>
      </c>
      <c r="P49" s="37">
        <v>32.2315830442232</v>
      </c>
    </row>
    <row r="50" spans="1:16" ht="11.25" customHeight="1" x14ac:dyDescent="0.3">
      <c r="A50" s="37">
        <v>49</v>
      </c>
      <c r="B50" s="37" t="s">
        <v>423</v>
      </c>
      <c r="C50" s="37" t="s">
        <v>45</v>
      </c>
      <c r="D50" s="37" t="s">
        <v>23</v>
      </c>
      <c r="E50" s="37" t="s">
        <v>46</v>
      </c>
      <c r="F50" s="37" t="s">
        <v>91</v>
      </c>
      <c r="G50" s="37" t="s">
        <v>25</v>
      </c>
      <c r="H50" s="37" t="s">
        <v>25</v>
      </c>
      <c r="I50" s="37" t="s">
        <v>25</v>
      </c>
      <c r="J50" s="37" t="s">
        <v>570</v>
      </c>
      <c r="K50" s="37" t="s">
        <v>569</v>
      </c>
      <c r="L50" s="37" t="s">
        <v>72</v>
      </c>
      <c r="M50" s="37">
        <v>2021</v>
      </c>
      <c r="N50" s="37">
        <v>0</v>
      </c>
      <c r="O50" s="37">
        <v>183.71</v>
      </c>
      <c r="P50" s="37">
        <v>35.161726957334402</v>
      </c>
    </row>
    <row r="51" spans="1:16" ht="11.25" customHeight="1" x14ac:dyDescent="0.3">
      <c r="A51" s="37">
        <v>50</v>
      </c>
      <c r="B51" s="37" t="s">
        <v>451</v>
      </c>
      <c r="C51" s="37" t="s">
        <v>35</v>
      </c>
      <c r="D51" s="37" t="s">
        <v>71</v>
      </c>
      <c r="E51" s="37" t="s">
        <v>25</v>
      </c>
      <c r="F51" s="37" t="s">
        <v>25</v>
      </c>
      <c r="G51" s="37" t="s">
        <v>25</v>
      </c>
      <c r="H51" s="37" t="s">
        <v>25</v>
      </c>
      <c r="I51" s="37" t="s">
        <v>37</v>
      </c>
      <c r="J51" s="37" t="s">
        <v>570</v>
      </c>
      <c r="K51" s="37" t="s">
        <v>569</v>
      </c>
      <c r="L51" s="37" t="s">
        <v>72</v>
      </c>
      <c r="M51" s="37">
        <v>2021</v>
      </c>
      <c r="N51" s="37">
        <v>0</v>
      </c>
      <c r="O51" s="37">
        <v>242.35</v>
      </c>
      <c r="P51" s="37"/>
    </row>
    <row r="52" spans="1:16" ht="11.25" customHeight="1" x14ac:dyDescent="0.3">
      <c r="A52" s="37">
        <v>51</v>
      </c>
      <c r="B52" s="37" t="s">
        <v>451</v>
      </c>
      <c r="C52" s="37" t="s">
        <v>35</v>
      </c>
      <c r="D52" s="37" t="s">
        <v>71</v>
      </c>
      <c r="E52" s="37" t="s">
        <v>25</v>
      </c>
      <c r="F52" s="37" t="s">
        <v>25</v>
      </c>
      <c r="G52" s="37" t="s">
        <v>25</v>
      </c>
      <c r="H52" s="37" t="s">
        <v>25</v>
      </c>
      <c r="I52" s="37" t="s">
        <v>38</v>
      </c>
      <c r="J52" s="37" t="s">
        <v>570</v>
      </c>
      <c r="K52" s="37" t="s">
        <v>569</v>
      </c>
      <c r="L52" s="37" t="s">
        <v>72</v>
      </c>
      <c r="M52" s="37">
        <v>2021</v>
      </c>
      <c r="N52" s="37">
        <v>0</v>
      </c>
      <c r="O52" s="37">
        <v>242.35</v>
      </c>
      <c r="P52" s="37"/>
    </row>
    <row r="53" spans="1:16" ht="11.25" customHeight="1" x14ac:dyDescent="0.3">
      <c r="A53" s="37">
        <v>52</v>
      </c>
      <c r="B53" s="37" t="s">
        <v>451</v>
      </c>
      <c r="C53" s="37" t="s">
        <v>35</v>
      </c>
      <c r="D53" s="37" t="s">
        <v>86</v>
      </c>
      <c r="E53" s="37" t="s">
        <v>25</v>
      </c>
      <c r="F53" s="37" t="s">
        <v>25</v>
      </c>
      <c r="G53" s="37" t="s">
        <v>25</v>
      </c>
      <c r="H53" s="37" t="s">
        <v>25</v>
      </c>
      <c r="I53" s="37" t="s">
        <v>25</v>
      </c>
      <c r="J53" s="37" t="s">
        <v>570</v>
      </c>
      <c r="K53" s="37" t="s">
        <v>569</v>
      </c>
      <c r="L53" s="37" t="s">
        <v>72</v>
      </c>
      <c r="M53" s="37">
        <v>2021</v>
      </c>
      <c r="N53" s="37">
        <v>0</v>
      </c>
      <c r="O53" s="37">
        <v>242.35</v>
      </c>
      <c r="P53" s="37"/>
    </row>
    <row r="54" spans="1:16" ht="11.25" customHeight="1" x14ac:dyDescent="0.3">
      <c r="A54" s="37">
        <v>53</v>
      </c>
      <c r="B54" s="37" t="s">
        <v>451</v>
      </c>
      <c r="C54" s="37" t="s">
        <v>22</v>
      </c>
      <c r="D54" s="37" t="s">
        <v>71</v>
      </c>
      <c r="E54" s="37" t="s">
        <v>24</v>
      </c>
      <c r="F54" s="37" t="s">
        <v>24</v>
      </c>
      <c r="G54" s="37" t="s">
        <v>25</v>
      </c>
      <c r="H54" s="37" t="s">
        <v>25</v>
      </c>
      <c r="I54" s="37" t="s">
        <v>37</v>
      </c>
      <c r="J54" s="37" t="s">
        <v>570</v>
      </c>
      <c r="K54" s="37" t="s">
        <v>569</v>
      </c>
      <c r="L54" s="37" t="s">
        <v>72</v>
      </c>
      <c r="M54" s="37">
        <v>2021</v>
      </c>
      <c r="N54" s="37">
        <v>0</v>
      </c>
      <c r="O54" s="37">
        <v>242.35</v>
      </c>
      <c r="P54" s="37"/>
    </row>
    <row r="55" spans="1:16" ht="11.25" customHeight="1" x14ac:dyDescent="0.3">
      <c r="A55" s="37">
        <v>54</v>
      </c>
      <c r="B55" s="37" t="s">
        <v>451</v>
      </c>
      <c r="C55" s="37" t="s">
        <v>22</v>
      </c>
      <c r="D55" s="37" t="s">
        <v>71</v>
      </c>
      <c r="E55" s="37" t="s">
        <v>24</v>
      </c>
      <c r="F55" s="37" t="s">
        <v>24</v>
      </c>
      <c r="G55" s="37" t="s">
        <v>25</v>
      </c>
      <c r="H55" s="37" t="s">
        <v>25</v>
      </c>
      <c r="I55" s="37" t="s">
        <v>41</v>
      </c>
      <c r="J55" s="37" t="s">
        <v>570</v>
      </c>
      <c r="K55" s="37" t="s">
        <v>569</v>
      </c>
      <c r="L55" s="37" t="s">
        <v>72</v>
      </c>
      <c r="M55" s="37">
        <v>2021</v>
      </c>
      <c r="N55" s="37">
        <v>0</v>
      </c>
      <c r="O55" s="37">
        <v>242.35</v>
      </c>
      <c r="P55" s="37"/>
    </row>
    <row r="56" spans="1:16" ht="11.25" customHeight="1" x14ac:dyDescent="0.3">
      <c r="A56" s="37">
        <v>55</v>
      </c>
      <c r="B56" s="37" t="s">
        <v>451</v>
      </c>
      <c r="C56" s="37" t="s">
        <v>22</v>
      </c>
      <c r="D56" s="37" t="s">
        <v>71</v>
      </c>
      <c r="E56" s="37" t="s">
        <v>24</v>
      </c>
      <c r="F56" s="37" t="s">
        <v>24</v>
      </c>
      <c r="G56" s="37" t="s">
        <v>25</v>
      </c>
      <c r="H56" s="37" t="s">
        <v>25</v>
      </c>
      <c r="I56" s="37" t="s">
        <v>38</v>
      </c>
      <c r="J56" s="37" t="s">
        <v>570</v>
      </c>
      <c r="K56" s="37" t="s">
        <v>569</v>
      </c>
      <c r="L56" s="37" t="s">
        <v>72</v>
      </c>
      <c r="M56" s="37">
        <v>2021</v>
      </c>
      <c r="N56" s="37">
        <v>0</v>
      </c>
      <c r="O56" s="37">
        <v>242.35</v>
      </c>
      <c r="P56" s="37"/>
    </row>
    <row r="57" spans="1:16" ht="11.25" customHeight="1" x14ac:dyDescent="0.3">
      <c r="A57" s="37">
        <v>56</v>
      </c>
      <c r="B57" s="37" t="s">
        <v>451</v>
      </c>
      <c r="C57" s="37" t="s">
        <v>22</v>
      </c>
      <c r="D57" s="37" t="s">
        <v>86</v>
      </c>
      <c r="E57" s="37" t="s">
        <v>24</v>
      </c>
      <c r="F57" s="37" t="s">
        <v>24</v>
      </c>
      <c r="G57" s="37" t="s">
        <v>25</v>
      </c>
      <c r="H57" s="37" t="s">
        <v>25</v>
      </c>
      <c r="I57" s="37" t="s">
        <v>25</v>
      </c>
      <c r="J57" s="37" t="s">
        <v>570</v>
      </c>
      <c r="K57" s="37" t="s">
        <v>569</v>
      </c>
      <c r="L57" s="37" t="s">
        <v>72</v>
      </c>
      <c r="M57" s="37">
        <v>2021</v>
      </c>
      <c r="N57" s="37">
        <v>0</v>
      </c>
      <c r="O57" s="37">
        <v>242.35</v>
      </c>
      <c r="P57" s="37"/>
    </row>
    <row r="58" spans="1:16" ht="11.25" customHeight="1" x14ac:dyDescent="0.3">
      <c r="A58" s="37">
        <v>57</v>
      </c>
      <c r="B58" s="37" t="s">
        <v>451</v>
      </c>
      <c r="C58" s="37" t="s">
        <v>22</v>
      </c>
      <c r="D58" s="37" t="s">
        <v>86</v>
      </c>
      <c r="E58" s="37" t="s">
        <v>24</v>
      </c>
      <c r="F58" s="37" t="s">
        <v>29</v>
      </c>
      <c r="G58" s="37" t="s">
        <v>25</v>
      </c>
      <c r="H58" s="37" t="s">
        <v>25</v>
      </c>
      <c r="I58" s="37" t="s">
        <v>25</v>
      </c>
      <c r="J58" s="37" t="s">
        <v>570</v>
      </c>
      <c r="K58" s="37" t="s">
        <v>569</v>
      </c>
      <c r="L58" s="37" t="s">
        <v>72</v>
      </c>
      <c r="M58" s="37">
        <v>2021</v>
      </c>
      <c r="N58" s="37">
        <v>0</v>
      </c>
      <c r="O58" s="37">
        <v>84.82</v>
      </c>
      <c r="P58" s="37"/>
    </row>
    <row r="59" spans="1:16" ht="11.25" customHeight="1" x14ac:dyDescent="0.3">
      <c r="A59" s="37">
        <v>58</v>
      </c>
      <c r="B59" s="37" t="s">
        <v>451</v>
      </c>
      <c r="C59" s="37" t="s">
        <v>22</v>
      </c>
      <c r="D59" s="37" t="s">
        <v>86</v>
      </c>
      <c r="E59" s="37" t="s">
        <v>24</v>
      </c>
      <c r="F59" s="37" t="s">
        <v>30</v>
      </c>
      <c r="G59" s="37" t="s">
        <v>25</v>
      </c>
      <c r="H59" s="37" t="s">
        <v>25</v>
      </c>
      <c r="I59" s="37" t="s">
        <v>25</v>
      </c>
      <c r="J59" s="37" t="s">
        <v>570</v>
      </c>
      <c r="K59" s="37" t="s">
        <v>569</v>
      </c>
      <c r="L59" s="37" t="s">
        <v>72</v>
      </c>
      <c r="M59" s="37">
        <v>2021</v>
      </c>
      <c r="N59" s="37">
        <v>0</v>
      </c>
      <c r="O59" s="37">
        <v>145.41</v>
      </c>
      <c r="P59" s="37"/>
    </row>
    <row r="60" spans="1:16" ht="11.25" customHeight="1" x14ac:dyDescent="0.3">
      <c r="A60" s="37">
        <v>59</v>
      </c>
      <c r="B60" s="37" t="s">
        <v>451</v>
      </c>
      <c r="C60" s="37" t="s">
        <v>22</v>
      </c>
      <c r="D60" s="37" t="s">
        <v>86</v>
      </c>
      <c r="E60" s="37" t="s">
        <v>24</v>
      </c>
      <c r="F60" s="37" t="s">
        <v>31</v>
      </c>
      <c r="G60" s="37" t="s">
        <v>25</v>
      </c>
      <c r="H60" s="37" t="s">
        <v>25</v>
      </c>
      <c r="I60" s="37" t="s">
        <v>25</v>
      </c>
      <c r="J60" s="37" t="s">
        <v>570</v>
      </c>
      <c r="K60" s="37" t="s">
        <v>569</v>
      </c>
      <c r="L60" s="37" t="s">
        <v>72</v>
      </c>
      <c r="M60" s="37">
        <v>2021</v>
      </c>
      <c r="N60" s="37">
        <v>0</v>
      </c>
      <c r="O60" s="37">
        <v>218.11</v>
      </c>
      <c r="P60" s="37"/>
    </row>
    <row r="61" spans="1:16" ht="11.25" customHeight="1" x14ac:dyDescent="0.3">
      <c r="A61" s="37">
        <v>60</v>
      </c>
      <c r="B61" s="37" t="s">
        <v>451</v>
      </c>
      <c r="C61" s="37" t="s">
        <v>22</v>
      </c>
      <c r="D61" s="37" t="s">
        <v>86</v>
      </c>
      <c r="E61" s="37" t="s">
        <v>24</v>
      </c>
      <c r="F61" s="37" t="s">
        <v>32</v>
      </c>
      <c r="G61" s="37" t="s">
        <v>25</v>
      </c>
      <c r="H61" s="37" t="s">
        <v>25</v>
      </c>
      <c r="I61" s="37" t="s">
        <v>25</v>
      </c>
      <c r="J61" s="37" t="s">
        <v>570</v>
      </c>
      <c r="K61" s="37" t="s">
        <v>569</v>
      </c>
      <c r="L61" s="37" t="s">
        <v>72</v>
      </c>
      <c r="M61" s="37">
        <v>2021</v>
      </c>
      <c r="N61" s="37">
        <v>0</v>
      </c>
      <c r="O61" s="37">
        <v>242.35</v>
      </c>
      <c r="P61" s="37"/>
    </row>
    <row r="62" spans="1:16" ht="11.25" customHeight="1" x14ac:dyDescent="0.3">
      <c r="A62" s="37">
        <v>61</v>
      </c>
      <c r="B62" s="37" t="s">
        <v>451</v>
      </c>
      <c r="C62" s="37" t="s">
        <v>22</v>
      </c>
      <c r="D62" s="37" t="s">
        <v>87</v>
      </c>
      <c r="E62" s="37" t="s">
        <v>24</v>
      </c>
      <c r="F62" s="37" t="s">
        <v>24</v>
      </c>
      <c r="G62" s="37" t="s">
        <v>25</v>
      </c>
      <c r="H62" s="37" t="s">
        <v>25</v>
      </c>
      <c r="I62" s="37" t="s">
        <v>25</v>
      </c>
      <c r="J62" s="37" t="s">
        <v>570</v>
      </c>
      <c r="K62" s="37" t="s">
        <v>569</v>
      </c>
      <c r="L62" s="37" t="s">
        <v>72</v>
      </c>
      <c r="M62" s="37">
        <v>2021</v>
      </c>
      <c r="N62" s="37">
        <v>0</v>
      </c>
      <c r="O62" s="37">
        <v>242.35</v>
      </c>
      <c r="P62" s="37"/>
    </row>
    <row r="63" spans="1:16" ht="11.25" customHeight="1" x14ac:dyDescent="0.3">
      <c r="A63" s="37">
        <v>62</v>
      </c>
      <c r="B63" s="37" t="s">
        <v>451</v>
      </c>
      <c r="C63" s="37" t="s">
        <v>22</v>
      </c>
      <c r="D63" s="37" t="s">
        <v>87</v>
      </c>
      <c r="E63" s="37" t="s">
        <v>24</v>
      </c>
      <c r="F63" s="37" t="s">
        <v>29</v>
      </c>
      <c r="G63" s="37" t="s">
        <v>25</v>
      </c>
      <c r="H63" s="37" t="s">
        <v>25</v>
      </c>
      <c r="I63" s="37" t="s">
        <v>25</v>
      </c>
      <c r="J63" s="37" t="s">
        <v>570</v>
      </c>
      <c r="K63" s="37" t="s">
        <v>569</v>
      </c>
      <c r="L63" s="37" t="s">
        <v>72</v>
      </c>
      <c r="M63" s="37">
        <v>2021</v>
      </c>
      <c r="N63" s="37">
        <v>0</v>
      </c>
      <c r="O63" s="37">
        <v>84.82</v>
      </c>
      <c r="P63" s="37"/>
    </row>
    <row r="64" spans="1:16" ht="11.25" customHeight="1" x14ac:dyDescent="0.3">
      <c r="A64" s="37">
        <v>63</v>
      </c>
      <c r="B64" s="37" t="s">
        <v>451</v>
      </c>
      <c r="C64" s="37" t="s">
        <v>22</v>
      </c>
      <c r="D64" s="37" t="s">
        <v>87</v>
      </c>
      <c r="E64" s="37" t="s">
        <v>24</v>
      </c>
      <c r="F64" s="37" t="s">
        <v>30</v>
      </c>
      <c r="G64" s="37" t="s">
        <v>25</v>
      </c>
      <c r="H64" s="37" t="s">
        <v>25</v>
      </c>
      <c r="I64" s="37" t="s">
        <v>25</v>
      </c>
      <c r="J64" s="37" t="s">
        <v>570</v>
      </c>
      <c r="K64" s="37" t="s">
        <v>569</v>
      </c>
      <c r="L64" s="37" t="s">
        <v>72</v>
      </c>
      <c r="M64" s="37">
        <v>2021</v>
      </c>
      <c r="N64" s="37">
        <v>0</v>
      </c>
      <c r="O64" s="37">
        <v>145.41</v>
      </c>
      <c r="P64" s="37"/>
    </row>
    <row r="65" spans="1:16" ht="11.25" customHeight="1" x14ac:dyDescent="0.3">
      <c r="A65" s="37">
        <v>64</v>
      </c>
      <c r="B65" s="37" t="s">
        <v>451</v>
      </c>
      <c r="C65" s="37" t="s">
        <v>22</v>
      </c>
      <c r="D65" s="37" t="s">
        <v>87</v>
      </c>
      <c r="E65" s="37" t="s">
        <v>24</v>
      </c>
      <c r="F65" s="37" t="s">
        <v>31</v>
      </c>
      <c r="G65" s="37" t="s">
        <v>25</v>
      </c>
      <c r="H65" s="37" t="s">
        <v>25</v>
      </c>
      <c r="I65" s="37" t="s">
        <v>25</v>
      </c>
      <c r="J65" s="37" t="s">
        <v>570</v>
      </c>
      <c r="K65" s="37" t="s">
        <v>569</v>
      </c>
      <c r="L65" s="37" t="s">
        <v>72</v>
      </c>
      <c r="M65" s="37">
        <v>2021</v>
      </c>
      <c r="N65" s="37">
        <v>0</v>
      </c>
      <c r="O65" s="37">
        <v>218.11</v>
      </c>
      <c r="P65" s="37"/>
    </row>
    <row r="66" spans="1:16" ht="11.25" customHeight="1" x14ac:dyDescent="0.3">
      <c r="A66" s="37">
        <v>65</v>
      </c>
      <c r="B66" s="37" t="s">
        <v>451</v>
      </c>
      <c r="C66" s="37" t="s">
        <v>22</v>
      </c>
      <c r="D66" s="37" t="s">
        <v>87</v>
      </c>
      <c r="E66" s="37" t="s">
        <v>24</v>
      </c>
      <c r="F66" s="37" t="s">
        <v>32</v>
      </c>
      <c r="G66" s="37" t="s">
        <v>25</v>
      </c>
      <c r="H66" s="37" t="s">
        <v>25</v>
      </c>
      <c r="I66" s="37" t="s">
        <v>25</v>
      </c>
      <c r="J66" s="37" t="s">
        <v>570</v>
      </c>
      <c r="K66" s="37" t="s">
        <v>569</v>
      </c>
      <c r="L66" s="37" t="s">
        <v>72</v>
      </c>
      <c r="M66" s="37">
        <v>2021</v>
      </c>
      <c r="N66" s="37">
        <v>0</v>
      </c>
      <c r="O66" s="37">
        <v>242.35</v>
      </c>
      <c r="P66" s="37"/>
    </row>
    <row r="67" spans="1:16" ht="11.25" customHeight="1" x14ac:dyDescent="0.3">
      <c r="A67" s="37">
        <v>66</v>
      </c>
      <c r="B67" s="37" t="s">
        <v>451</v>
      </c>
      <c r="C67" s="37" t="s">
        <v>42</v>
      </c>
      <c r="D67" s="37" t="s">
        <v>71</v>
      </c>
      <c r="E67" s="37" t="s">
        <v>43</v>
      </c>
      <c r="F67" s="37" t="s">
        <v>25</v>
      </c>
      <c r="G67" s="37" t="s">
        <v>25</v>
      </c>
      <c r="H67" s="37" t="s">
        <v>25</v>
      </c>
      <c r="I67" s="37" t="s">
        <v>37</v>
      </c>
      <c r="J67" s="37" t="s">
        <v>570</v>
      </c>
      <c r="K67" s="37" t="s">
        <v>569</v>
      </c>
      <c r="L67" s="37" t="s">
        <v>72</v>
      </c>
      <c r="M67" s="37">
        <v>2021</v>
      </c>
      <c r="N67" s="37">
        <v>0</v>
      </c>
      <c r="O67" s="37">
        <v>213.27</v>
      </c>
      <c r="P67" s="37"/>
    </row>
    <row r="68" spans="1:16" ht="11.25" customHeight="1" x14ac:dyDescent="0.3">
      <c r="A68" s="37">
        <v>67</v>
      </c>
      <c r="B68" s="37" t="s">
        <v>451</v>
      </c>
      <c r="C68" s="37" t="s">
        <v>42</v>
      </c>
      <c r="D68" s="37" t="s">
        <v>71</v>
      </c>
      <c r="E68" s="37" t="s">
        <v>43</v>
      </c>
      <c r="F68" s="37" t="s">
        <v>25</v>
      </c>
      <c r="G68" s="37" t="s">
        <v>25</v>
      </c>
      <c r="H68" s="37" t="s">
        <v>25</v>
      </c>
      <c r="I68" s="37" t="s">
        <v>41</v>
      </c>
      <c r="J68" s="37" t="s">
        <v>570</v>
      </c>
      <c r="K68" s="37" t="s">
        <v>569</v>
      </c>
      <c r="L68" s="37" t="s">
        <v>72</v>
      </c>
      <c r="M68" s="37">
        <v>2021</v>
      </c>
      <c r="N68" s="37">
        <v>0</v>
      </c>
      <c r="O68" s="37">
        <v>213.27</v>
      </c>
      <c r="P68" s="37"/>
    </row>
    <row r="69" spans="1:16" ht="11.25" customHeight="1" x14ac:dyDescent="0.3">
      <c r="A69" s="37">
        <v>68</v>
      </c>
      <c r="B69" s="37" t="s">
        <v>451</v>
      </c>
      <c r="C69" s="37" t="s">
        <v>42</v>
      </c>
      <c r="D69" s="37" t="s">
        <v>71</v>
      </c>
      <c r="E69" s="37" t="s">
        <v>43</v>
      </c>
      <c r="F69" s="37" t="s">
        <v>25</v>
      </c>
      <c r="G69" s="37" t="s">
        <v>25</v>
      </c>
      <c r="H69" s="37" t="s">
        <v>25</v>
      </c>
      <c r="I69" s="37" t="s">
        <v>38</v>
      </c>
      <c r="J69" s="37" t="s">
        <v>570</v>
      </c>
      <c r="K69" s="37" t="s">
        <v>569</v>
      </c>
      <c r="L69" s="37" t="s">
        <v>72</v>
      </c>
      <c r="M69" s="37">
        <v>2021</v>
      </c>
      <c r="N69" s="37">
        <v>0</v>
      </c>
      <c r="O69" s="37">
        <v>213.27</v>
      </c>
      <c r="P69" s="37"/>
    </row>
    <row r="70" spans="1:16" ht="11.25" customHeight="1" x14ac:dyDescent="0.3">
      <c r="A70" s="37">
        <v>69</v>
      </c>
      <c r="B70" s="37" t="s">
        <v>451</v>
      </c>
      <c r="C70" s="37" t="s">
        <v>42</v>
      </c>
      <c r="D70" s="37" t="s">
        <v>86</v>
      </c>
      <c r="E70" s="37" t="s">
        <v>43</v>
      </c>
      <c r="F70" s="37" t="s">
        <v>25</v>
      </c>
      <c r="G70" s="37" t="s">
        <v>25</v>
      </c>
      <c r="H70" s="37" t="s">
        <v>25</v>
      </c>
      <c r="I70" s="37" t="s">
        <v>25</v>
      </c>
      <c r="J70" s="37" t="s">
        <v>570</v>
      </c>
      <c r="K70" s="37" t="s">
        <v>569</v>
      </c>
      <c r="L70" s="37" t="s">
        <v>72</v>
      </c>
      <c r="M70" s="37">
        <v>2021</v>
      </c>
      <c r="N70" s="37">
        <v>0</v>
      </c>
      <c r="O70" s="37">
        <v>213.27</v>
      </c>
      <c r="P70" s="37"/>
    </row>
    <row r="71" spans="1:16" ht="11.25" customHeight="1" x14ac:dyDescent="0.3">
      <c r="A71" s="37">
        <v>70</v>
      </c>
      <c r="B71" s="37" t="s">
        <v>451</v>
      </c>
      <c r="C71" s="37" t="s">
        <v>42</v>
      </c>
      <c r="D71" s="37" t="s">
        <v>71</v>
      </c>
      <c r="E71" s="37" t="s">
        <v>43</v>
      </c>
      <c r="F71" s="37" t="s">
        <v>89</v>
      </c>
      <c r="G71" s="37" t="s">
        <v>25</v>
      </c>
      <c r="H71" s="37" t="s">
        <v>25</v>
      </c>
      <c r="I71" s="37" t="s">
        <v>37</v>
      </c>
      <c r="J71" s="37" t="s">
        <v>570</v>
      </c>
      <c r="K71" s="37" t="s">
        <v>569</v>
      </c>
      <c r="L71" s="37" t="s">
        <v>72</v>
      </c>
      <c r="M71" s="37">
        <v>2021</v>
      </c>
      <c r="N71" s="37">
        <v>0</v>
      </c>
      <c r="O71" s="37">
        <v>213.27</v>
      </c>
      <c r="P71" s="37"/>
    </row>
    <row r="72" spans="1:16" ht="11.25" customHeight="1" x14ac:dyDescent="0.3">
      <c r="A72" s="37">
        <v>71</v>
      </c>
      <c r="B72" s="37" t="s">
        <v>451</v>
      </c>
      <c r="C72" s="37" t="s">
        <v>42</v>
      </c>
      <c r="D72" s="37" t="s">
        <v>71</v>
      </c>
      <c r="E72" s="37" t="s">
        <v>43</v>
      </c>
      <c r="F72" s="37" t="s">
        <v>89</v>
      </c>
      <c r="G72" s="37" t="s">
        <v>25</v>
      </c>
      <c r="H72" s="37" t="s">
        <v>25</v>
      </c>
      <c r="I72" s="37" t="s">
        <v>41</v>
      </c>
      <c r="J72" s="37" t="s">
        <v>570</v>
      </c>
      <c r="K72" s="37" t="s">
        <v>569</v>
      </c>
      <c r="L72" s="37" t="s">
        <v>72</v>
      </c>
      <c r="M72" s="37">
        <v>2021</v>
      </c>
      <c r="N72" s="37">
        <v>0</v>
      </c>
      <c r="O72" s="37">
        <v>213.27</v>
      </c>
      <c r="P72" s="37"/>
    </row>
    <row r="73" spans="1:16" ht="11.25" customHeight="1" x14ac:dyDescent="0.3">
      <c r="A73" s="37">
        <v>72</v>
      </c>
      <c r="B73" s="37" t="s">
        <v>451</v>
      </c>
      <c r="C73" s="37" t="s">
        <v>42</v>
      </c>
      <c r="D73" s="37" t="s">
        <v>71</v>
      </c>
      <c r="E73" s="37" t="s">
        <v>43</v>
      </c>
      <c r="F73" s="37" t="s">
        <v>89</v>
      </c>
      <c r="G73" s="37" t="s">
        <v>25</v>
      </c>
      <c r="H73" s="37" t="s">
        <v>25</v>
      </c>
      <c r="I73" s="37" t="s">
        <v>38</v>
      </c>
      <c r="J73" s="37" t="s">
        <v>570</v>
      </c>
      <c r="K73" s="37" t="s">
        <v>569</v>
      </c>
      <c r="L73" s="37" t="s">
        <v>72</v>
      </c>
      <c r="M73" s="37">
        <v>2021</v>
      </c>
      <c r="N73" s="37">
        <v>0</v>
      </c>
      <c r="O73" s="37">
        <v>213.27</v>
      </c>
      <c r="P73" s="37"/>
    </row>
    <row r="74" spans="1:16" ht="11.25" customHeight="1" x14ac:dyDescent="0.3">
      <c r="A74" s="37">
        <v>73</v>
      </c>
      <c r="B74" s="37" t="s">
        <v>451</v>
      </c>
      <c r="C74" s="37" t="s">
        <v>42</v>
      </c>
      <c r="D74" s="37" t="s">
        <v>86</v>
      </c>
      <c r="E74" s="37" t="s">
        <v>43</v>
      </c>
      <c r="F74" s="37" t="s">
        <v>89</v>
      </c>
      <c r="G74" s="37" t="s">
        <v>25</v>
      </c>
      <c r="H74" s="37" t="s">
        <v>25</v>
      </c>
      <c r="I74" s="37" t="s">
        <v>25</v>
      </c>
      <c r="J74" s="37" t="s">
        <v>570</v>
      </c>
      <c r="K74" s="37" t="s">
        <v>569</v>
      </c>
      <c r="L74" s="37" t="s">
        <v>72</v>
      </c>
      <c r="M74" s="37">
        <v>2021</v>
      </c>
      <c r="N74" s="37">
        <v>0</v>
      </c>
      <c r="O74" s="37">
        <v>213.27</v>
      </c>
      <c r="P74" s="37"/>
    </row>
    <row r="75" spans="1:16" ht="11.25" customHeight="1" x14ac:dyDescent="0.3">
      <c r="A75" s="37">
        <v>74</v>
      </c>
      <c r="B75" s="37" t="s">
        <v>451</v>
      </c>
      <c r="C75" s="37" t="s">
        <v>42</v>
      </c>
      <c r="D75" s="37" t="s">
        <v>71</v>
      </c>
      <c r="E75" s="37" t="s">
        <v>43</v>
      </c>
      <c r="F75" s="37" t="s">
        <v>90</v>
      </c>
      <c r="G75" s="37" t="s">
        <v>25</v>
      </c>
      <c r="H75" s="37" t="s">
        <v>25</v>
      </c>
      <c r="I75" s="37" t="s">
        <v>37</v>
      </c>
      <c r="J75" s="37" t="s">
        <v>570</v>
      </c>
      <c r="K75" s="37" t="s">
        <v>569</v>
      </c>
      <c r="L75" s="37" t="s">
        <v>72</v>
      </c>
      <c r="M75" s="37">
        <v>2021</v>
      </c>
      <c r="N75" s="37">
        <v>0</v>
      </c>
      <c r="O75" s="37">
        <v>203.57</v>
      </c>
      <c r="P75" s="37"/>
    </row>
    <row r="76" spans="1:16" ht="11.25" customHeight="1" x14ac:dyDescent="0.3">
      <c r="A76" s="37">
        <v>75</v>
      </c>
      <c r="B76" s="37" t="s">
        <v>451</v>
      </c>
      <c r="C76" s="37" t="s">
        <v>42</v>
      </c>
      <c r="D76" s="37" t="s">
        <v>71</v>
      </c>
      <c r="E76" s="37" t="s">
        <v>43</v>
      </c>
      <c r="F76" s="37" t="s">
        <v>90</v>
      </c>
      <c r="G76" s="37" t="s">
        <v>25</v>
      </c>
      <c r="H76" s="37" t="s">
        <v>25</v>
      </c>
      <c r="I76" s="37" t="s">
        <v>41</v>
      </c>
      <c r="J76" s="37" t="s">
        <v>570</v>
      </c>
      <c r="K76" s="37" t="s">
        <v>569</v>
      </c>
      <c r="L76" s="37" t="s">
        <v>72</v>
      </c>
      <c r="M76" s="37">
        <v>2021</v>
      </c>
      <c r="N76" s="37">
        <v>0</v>
      </c>
      <c r="O76" s="37">
        <v>203.57</v>
      </c>
      <c r="P76" s="37"/>
    </row>
    <row r="77" spans="1:16" ht="11.25" customHeight="1" x14ac:dyDescent="0.3">
      <c r="A77" s="37">
        <v>76</v>
      </c>
      <c r="B77" s="37" t="s">
        <v>451</v>
      </c>
      <c r="C77" s="37" t="s">
        <v>42</v>
      </c>
      <c r="D77" s="37" t="s">
        <v>71</v>
      </c>
      <c r="E77" s="37" t="s">
        <v>43</v>
      </c>
      <c r="F77" s="37" t="s">
        <v>90</v>
      </c>
      <c r="G77" s="37" t="s">
        <v>25</v>
      </c>
      <c r="H77" s="37" t="s">
        <v>25</v>
      </c>
      <c r="I77" s="37" t="s">
        <v>38</v>
      </c>
      <c r="J77" s="37" t="s">
        <v>570</v>
      </c>
      <c r="K77" s="37" t="s">
        <v>569</v>
      </c>
      <c r="L77" s="37" t="s">
        <v>72</v>
      </c>
      <c r="M77" s="37">
        <v>2021</v>
      </c>
      <c r="N77" s="37">
        <v>0</v>
      </c>
      <c r="O77" s="37">
        <v>203.57</v>
      </c>
      <c r="P77" s="37"/>
    </row>
    <row r="78" spans="1:16" ht="11.25" customHeight="1" x14ac:dyDescent="0.3">
      <c r="A78" s="37">
        <v>77</v>
      </c>
      <c r="B78" s="37" t="s">
        <v>451</v>
      </c>
      <c r="C78" s="37" t="s">
        <v>42</v>
      </c>
      <c r="D78" s="37" t="s">
        <v>86</v>
      </c>
      <c r="E78" s="37" t="s">
        <v>43</v>
      </c>
      <c r="F78" s="37" t="s">
        <v>90</v>
      </c>
      <c r="G78" s="37" t="s">
        <v>25</v>
      </c>
      <c r="H78" s="37" t="s">
        <v>25</v>
      </c>
      <c r="I78" s="37" t="s">
        <v>25</v>
      </c>
      <c r="J78" s="37" t="s">
        <v>570</v>
      </c>
      <c r="K78" s="37" t="s">
        <v>569</v>
      </c>
      <c r="L78" s="37" t="s">
        <v>72</v>
      </c>
      <c r="M78" s="37">
        <v>2021</v>
      </c>
      <c r="N78" s="37">
        <v>0</v>
      </c>
      <c r="O78" s="37">
        <v>203.57</v>
      </c>
      <c r="P78" s="37"/>
    </row>
    <row r="79" spans="1:16" ht="11.25" customHeight="1" x14ac:dyDescent="0.3">
      <c r="A79" s="37">
        <v>78</v>
      </c>
      <c r="B79" s="37" t="s">
        <v>451</v>
      </c>
      <c r="C79" s="37" t="s">
        <v>42</v>
      </c>
      <c r="D79" s="37" t="s">
        <v>87</v>
      </c>
      <c r="E79" s="37" t="s">
        <v>43</v>
      </c>
      <c r="F79" s="37" t="s">
        <v>25</v>
      </c>
      <c r="G79" s="37" t="s">
        <v>25</v>
      </c>
      <c r="H79" s="37" t="s">
        <v>25</v>
      </c>
      <c r="I79" s="37" t="s">
        <v>25</v>
      </c>
      <c r="J79" s="37" t="s">
        <v>570</v>
      </c>
      <c r="K79" s="37" t="s">
        <v>569</v>
      </c>
      <c r="L79" s="37" t="s">
        <v>72</v>
      </c>
      <c r="M79" s="37">
        <v>2021</v>
      </c>
      <c r="N79" s="37">
        <v>0</v>
      </c>
      <c r="O79" s="37">
        <v>213.27</v>
      </c>
      <c r="P79" s="37"/>
    </row>
    <row r="80" spans="1:16" ht="11.25" customHeight="1" x14ac:dyDescent="0.3">
      <c r="A80" s="37">
        <v>79</v>
      </c>
      <c r="B80" s="37" t="s">
        <v>451</v>
      </c>
      <c r="C80" s="37" t="s">
        <v>42</v>
      </c>
      <c r="D80" s="37" t="s">
        <v>87</v>
      </c>
      <c r="E80" s="37" t="s">
        <v>43</v>
      </c>
      <c r="F80" s="37" t="s">
        <v>89</v>
      </c>
      <c r="G80" s="37" t="s">
        <v>25</v>
      </c>
      <c r="H80" s="37" t="s">
        <v>25</v>
      </c>
      <c r="I80" s="37" t="s">
        <v>25</v>
      </c>
      <c r="J80" s="37" t="s">
        <v>570</v>
      </c>
      <c r="K80" s="37" t="s">
        <v>569</v>
      </c>
      <c r="L80" s="37" t="s">
        <v>72</v>
      </c>
      <c r="M80" s="37">
        <v>2021</v>
      </c>
      <c r="N80" s="37">
        <v>0</v>
      </c>
      <c r="O80" s="37">
        <v>213.27</v>
      </c>
      <c r="P80" s="37"/>
    </row>
    <row r="81" spans="1:16" ht="11.25" customHeight="1" x14ac:dyDescent="0.3">
      <c r="A81" s="37">
        <v>80</v>
      </c>
      <c r="B81" s="37" t="s">
        <v>451</v>
      </c>
      <c r="C81" s="37" t="s">
        <v>42</v>
      </c>
      <c r="D81" s="37" t="s">
        <v>87</v>
      </c>
      <c r="E81" s="37" t="s">
        <v>43</v>
      </c>
      <c r="F81" s="37" t="s">
        <v>90</v>
      </c>
      <c r="G81" s="37" t="s">
        <v>25</v>
      </c>
      <c r="H81" s="37" t="s">
        <v>25</v>
      </c>
      <c r="I81" s="37" t="s">
        <v>25</v>
      </c>
      <c r="J81" s="37" t="s">
        <v>570</v>
      </c>
      <c r="K81" s="37" t="s">
        <v>569</v>
      </c>
      <c r="L81" s="37" t="s">
        <v>72</v>
      </c>
      <c r="M81" s="37">
        <v>2021</v>
      </c>
      <c r="N81" s="37">
        <v>0</v>
      </c>
      <c r="O81" s="37">
        <v>203.57</v>
      </c>
      <c r="P81" s="37"/>
    </row>
    <row r="82" spans="1:16" ht="11.25" customHeight="1" x14ac:dyDescent="0.3">
      <c r="A82" s="37">
        <v>81</v>
      </c>
      <c r="B82" s="37" t="s">
        <v>451</v>
      </c>
      <c r="C82" s="37" t="s">
        <v>33</v>
      </c>
      <c r="D82" s="37" t="s">
        <v>71</v>
      </c>
      <c r="E82" s="37" t="s">
        <v>25</v>
      </c>
      <c r="F82" s="37" t="s">
        <v>25</v>
      </c>
      <c r="G82" s="37" t="s">
        <v>25</v>
      </c>
      <c r="H82" s="37" t="s">
        <v>25</v>
      </c>
      <c r="I82" s="37" t="s">
        <v>37</v>
      </c>
      <c r="J82" s="37" t="s">
        <v>570</v>
      </c>
      <c r="K82" s="37" t="s">
        <v>569</v>
      </c>
      <c r="L82" s="37" t="s">
        <v>72</v>
      </c>
      <c r="M82" s="37">
        <v>2021</v>
      </c>
      <c r="N82" s="37">
        <v>0</v>
      </c>
      <c r="O82" s="37">
        <v>242.35</v>
      </c>
      <c r="P82" s="37"/>
    </row>
    <row r="83" spans="1:16" ht="11.25" customHeight="1" x14ac:dyDescent="0.3">
      <c r="A83" s="37">
        <v>82</v>
      </c>
      <c r="B83" s="37" t="s">
        <v>451</v>
      </c>
      <c r="C83" s="37" t="s">
        <v>33</v>
      </c>
      <c r="D83" s="37" t="s">
        <v>71</v>
      </c>
      <c r="E83" s="37" t="s">
        <v>25</v>
      </c>
      <c r="F83" s="37" t="s">
        <v>25</v>
      </c>
      <c r="G83" s="37" t="s">
        <v>25</v>
      </c>
      <c r="H83" s="37" t="s">
        <v>25</v>
      </c>
      <c r="I83" s="37" t="s">
        <v>41</v>
      </c>
      <c r="J83" s="37" t="s">
        <v>570</v>
      </c>
      <c r="K83" s="37" t="s">
        <v>569</v>
      </c>
      <c r="L83" s="37" t="s">
        <v>72</v>
      </c>
      <c r="M83" s="37">
        <v>2021</v>
      </c>
      <c r="N83" s="37">
        <v>0</v>
      </c>
      <c r="O83" s="37">
        <v>242.35</v>
      </c>
      <c r="P83" s="37"/>
    </row>
    <row r="84" spans="1:16" ht="11.25" customHeight="1" x14ac:dyDescent="0.3">
      <c r="A84" s="37">
        <v>83</v>
      </c>
      <c r="B84" s="37" t="s">
        <v>451</v>
      </c>
      <c r="C84" s="37" t="s">
        <v>33</v>
      </c>
      <c r="D84" s="37" t="s">
        <v>71</v>
      </c>
      <c r="E84" s="37" t="s">
        <v>25</v>
      </c>
      <c r="F84" s="37" t="s">
        <v>25</v>
      </c>
      <c r="G84" s="37" t="s">
        <v>25</v>
      </c>
      <c r="H84" s="37" t="s">
        <v>25</v>
      </c>
      <c r="I84" s="37" t="s">
        <v>38</v>
      </c>
      <c r="J84" s="37" t="s">
        <v>570</v>
      </c>
      <c r="K84" s="37" t="s">
        <v>569</v>
      </c>
      <c r="L84" s="37" t="s">
        <v>72</v>
      </c>
      <c r="M84" s="37">
        <v>2021</v>
      </c>
      <c r="N84" s="37">
        <v>0</v>
      </c>
      <c r="O84" s="37">
        <v>242.35</v>
      </c>
      <c r="P84" s="37"/>
    </row>
    <row r="85" spans="1:16" ht="11.25" customHeight="1" x14ac:dyDescent="0.3">
      <c r="A85" s="37">
        <v>84</v>
      </c>
      <c r="B85" s="37" t="s">
        <v>451</v>
      </c>
      <c r="C85" s="37" t="s">
        <v>33</v>
      </c>
      <c r="D85" s="37" t="s">
        <v>86</v>
      </c>
      <c r="E85" s="37" t="s">
        <v>25</v>
      </c>
      <c r="F85" s="37" t="s">
        <v>25</v>
      </c>
      <c r="G85" s="37" t="s">
        <v>25</v>
      </c>
      <c r="H85" s="37" t="s">
        <v>25</v>
      </c>
      <c r="I85" s="37" t="s">
        <v>25</v>
      </c>
      <c r="J85" s="37" t="s">
        <v>570</v>
      </c>
      <c r="K85" s="37" t="s">
        <v>569</v>
      </c>
      <c r="L85" s="37" t="s">
        <v>72</v>
      </c>
      <c r="M85" s="37">
        <v>2021</v>
      </c>
      <c r="N85" s="37">
        <v>0</v>
      </c>
      <c r="O85" s="37">
        <v>242.35</v>
      </c>
      <c r="P85" s="37"/>
    </row>
    <row r="86" spans="1:16" ht="11.25" customHeight="1" x14ac:dyDescent="0.3">
      <c r="A86" s="37">
        <v>85</v>
      </c>
      <c r="B86" s="37" t="s">
        <v>451</v>
      </c>
      <c r="C86" s="37" t="s">
        <v>33</v>
      </c>
      <c r="D86" s="37" t="s">
        <v>87</v>
      </c>
      <c r="E86" s="37" t="s">
        <v>25</v>
      </c>
      <c r="F86" s="37" t="s">
        <v>25</v>
      </c>
      <c r="G86" s="37" t="s">
        <v>25</v>
      </c>
      <c r="H86" s="37" t="s">
        <v>25</v>
      </c>
      <c r="I86" s="37" t="s">
        <v>25</v>
      </c>
      <c r="J86" s="37" t="s">
        <v>570</v>
      </c>
      <c r="K86" s="37" t="s">
        <v>569</v>
      </c>
      <c r="L86" s="37" t="s">
        <v>72</v>
      </c>
      <c r="M86" s="37">
        <v>2021</v>
      </c>
      <c r="N86" s="37">
        <v>0</v>
      </c>
      <c r="O86" s="37">
        <v>242.35</v>
      </c>
      <c r="P86" s="37"/>
    </row>
    <row r="87" spans="1:16" ht="11.25" customHeight="1" x14ac:dyDescent="0.3">
      <c r="A87" s="37">
        <v>86</v>
      </c>
      <c r="B87" s="37" t="s">
        <v>451</v>
      </c>
      <c r="C87" s="37" t="s">
        <v>45</v>
      </c>
      <c r="D87" s="37" t="s">
        <v>86</v>
      </c>
      <c r="E87" s="37" t="s">
        <v>46</v>
      </c>
      <c r="F87" s="37" t="s">
        <v>47</v>
      </c>
      <c r="G87" s="37" t="s">
        <v>25</v>
      </c>
      <c r="H87" s="37" t="s">
        <v>25</v>
      </c>
      <c r="I87" s="37" t="s">
        <v>25</v>
      </c>
      <c r="J87" s="37" t="s">
        <v>570</v>
      </c>
      <c r="K87" s="37" t="s">
        <v>569</v>
      </c>
      <c r="L87" s="37" t="s">
        <v>72</v>
      </c>
      <c r="M87" s="37">
        <v>2021</v>
      </c>
      <c r="N87" s="37">
        <v>0</v>
      </c>
      <c r="O87" s="37">
        <v>133.29</v>
      </c>
      <c r="P87" s="37"/>
    </row>
    <row r="88" spans="1:16" ht="11.25" customHeight="1" x14ac:dyDescent="0.3">
      <c r="A88" s="37">
        <v>87</v>
      </c>
      <c r="B88" s="37" t="s">
        <v>451</v>
      </c>
      <c r="C88" s="37" t="s">
        <v>45</v>
      </c>
      <c r="D88" s="37" t="s">
        <v>86</v>
      </c>
      <c r="E88" s="37" t="s">
        <v>46</v>
      </c>
      <c r="F88" s="37" t="s">
        <v>91</v>
      </c>
      <c r="G88" s="37" t="s">
        <v>25</v>
      </c>
      <c r="H88" s="37" t="s">
        <v>25</v>
      </c>
      <c r="I88" s="37" t="s">
        <v>25</v>
      </c>
      <c r="J88" s="37" t="s">
        <v>570</v>
      </c>
      <c r="K88" s="37" t="s">
        <v>569</v>
      </c>
      <c r="L88" s="37" t="s">
        <v>72</v>
      </c>
      <c r="M88" s="37">
        <v>2021</v>
      </c>
      <c r="N88" s="37">
        <v>0</v>
      </c>
      <c r="O88" s="37">
        <v>145.41</v>
      </c>
      <c r="P88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A4B7-D5A5-49DF-8EB0-53601EE9D8F3}">
  <dimension ref="A1:AD49"/>
  <sheetViews>
    <sheetView showGridLines="0" workbookViewId="0">
      <selection activeCell="P39" sqref="P39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20" width="7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7" t="s">
        <v>35</v>
      </c>
      <c r="B2" s="77" t="s">
        <v>75</v>
      </c>
      <c r="C2" s="77" t="s">
        <v>25</v>
      </c>
      <c r="D2" s="77" t="s">
        <v>25</v>
      </c>
      <c r="E2" s="77" t="s">
        <v>25</v>
      </c>
      <c r="F2" s="77" t="s">
        <v>25</v>
      </c>
      <c r="G2" s="13" t="s">
        <v>77</v>
      </c>
      <c r="H2" s="13" t="s">
        <v>76</v>
      </c>
      <c r="I2" s="13">
        <f>SUMIF(Mercado_Receita!$S$2:$S$391,"44440A4AzulNão se aplicaNão se aplicaNão se aplicaNão se aplicaPonta",Mercado_Receita!$J$2:$J$391)+SUMIF(Mercado_Receita!$S$2:$S$391,"44440A4AzulNão se aplicaNão se aplicaAPENão se aplicaPonta",Mercado_Receita!$J$2:$J$391)</f>
        <v>0</v>
      </c>
      <c r="J2" s="13">
        <f>SUMIF(Mercado_Receita!$S$2:$S$391,"44470A4AzulNão se aplicaNão se aplicaNão se aplicaNão se aplicaPonta",Mercado_Receita!$J$2:$J$391)+SUMIF(Mercado_Receita!$S$2:$S$391,"44470A4AzulNão se aplicaNão se aplicaAPENão se aplicaPonta",Mercado_Receita!$J$2:$J$391)</f>
        <v>0</v>
      </c>
      <c r="K2" s="13">
        <f>SUMIF(Mercado_Receita!$S$2:$S$391,"44501A4AzulNão se aplicaNão se aplicaNão se aplicaNão se aplicaPonta",Mercado_Receita!$J$2:$J$391)+SUMIF(Mercado_Receita!$S$2:$S$391,"44501A4AzulNão se aplicaNão se aplicaAPENão se aplicaPonta",Mercado_Receita!$J$2:$J$391)</f>
        <v>0</v>
      </c>
      <c r="L2" s="13">
        <f>SUMIF(Mercado_Receita!$S$2:$S$391,"44531A4AzulNão se aplicaNão se aplicaNão se aplicaNão se aplicaPonta",Mercado_Receita!$J$2:$J$391)+SUMIF(Mercado_Receita!$S$2:$S$391,"44531A4AzulNão se aplicaNão se aplicaAPENão se aplicaPonta",Mercado_Receita!$J$2:$J$391)</f>
        <v>0</v>
      </c>
      <c r="M2" s="13">
        <f>SUMIF(Mercado_Receita!$S$2:$S$391,"44562A4AzulNão se aplicaNão se aplicaNão se aplicaNão se aplicaPonta",Mercado_Receita!$J$2:$J$391)+SUMIF(Mercado_Receita!$S$2:$S$391,"44562A4AzulNão se aplicaNão se aplicaAPENão se aplicaPonta",Mercado_Receita!$J$2:$J$391)</f>
        <v>0</v>
      </c>
      <c r="N2" s="13">
        <f>SUMIF(Mercado_Receita!$S$2:$S$391,"44593A4AzulNão se aplicaNão se aplicaNão se aplicaNão se aplicaPonta",Mercado_Receita!$J$2:$J$391)+SUMIF(Mercado_Receita!$S$2:$S$391,"44593A4AzulNão se aplicaNão se aplicaAPENão se aplicaPonta",Mercado_Receita!$J$2:$J$391)</f>
        <v>0</v>
      </c>
      <c r="O2" s="13">
        <f>SUMIF(Mercado_Receita!$S$2:$S$391,"44621A4AzulNão se aplicaNão se aplicaNão se aplicaNão se aplicaPonta",Mercado_Receita!$J$2:$J$391)+SUMIF(Mercado_Receita!$S$2:$S$391,"44621A4AzulNão se aplicaNão se aplicaAPENão se aplicaPonta",Mercado_Receita!$J$2:$J$391)</f>
        <v>0</v>
      </c>
      <c r="P2" s="13">
        <f>SUMIF(Mercado_Receita!$S$2:$S$391,"44652A4AzulNão se aplicaNão se aplicaNão se aplicaNão se aplicaPonta",Mercado_Receita!$J$2:$J$391)+SUMIF(Mercado_Receita!$S$2:$S$391,"44652A4AzulNão se aplicaNão se aplicaAPENão se aplicaPonta",Mercado_Receita!$J$2:$J$391)</f>
        <v>0</v>
      </c>
      <c r="Q2" s="13">
        <f>SUMIF(Mercado_Receita!$S$2:$S$391,"44682A4AzulNão se aplicaNão se aplicaNão se aplicaNão se aplicaPonta",Mercado_Receita!$J$2:$J$391)+SUMIF(Mercado_Receita!$S$2:$S$391,"44682A4AzulNão se aplicaNão se aplicaAPENão se aplicaPonta",Mercado_Receita!$J$2:$J$391)</f>
        <v>0</v>
      </c>
      <c r="R2" s="13">
        <f>SUMIF(Mercado_Receita!$S$2:$S$391,"44713A4AzulNão se aplicaNão se aplicaNão se aplicaNão se aplicaPonta",Mercado_Receita!$J$2:$J$391)+SUMIF(Mercado_Receita!$S$2:$S$391,"44713A4AzulNão se aplicaNão se aplicaAPENão se aplicaPonta",Mercado_Receita!$J$2:$J$391)</f>
        <v>0</v>
      </c>
      <c r="S2" s="13">
        <f>SUMIF(Mercado_Receita!$S$2:$S$391,"44743A4AzulNão se aplicaNão se aplicaNão se aplicaNão se aplicaPonta",Mercado_Receita!$J$2:$J$391)+SUMIF(Mercado_Receita!$S$2:$S$391,"44743A4AzulNão se aplicaNão se aplicaAPENão se aplicaPonta",Mercado_Receita!$J$2:$J$391)</f>
        <v>0</v>
      </c>
      <c r="T2" s="13">
        <f>SUMIF(Mercado_Receita!$S$2:$S$391,"44774A4AzulNão se aplicaNão se aplicaNão se aplicaNão se aplicaPonta",Mercado_Receita!$J$2:$J$391)+SUMIF(Mercado_Receita!$S$2:$S$391,"44774A4AzulNão se aplicaNão se aplicaAPENão se aplicaPonta",Mercado_Receita!$J$2:$J$391)</f>
        <v>0</v>
      </c>
      <c r="U2" s="13">
        <f t="shared" ref="U2:U48" si="0">SUM(I2:T2)</f>
        <v>0</v>
      </c>
      <c r="V2" s="13"/>
      <c r="W2" s="13"/>
    </row>
    <row r="3" spans="1:30" ht="11.25" customHeight="1" x14ac:dyDescent="0.3">
      <c r="A3" s="78"/>
      <c r="B3" s="78"/>
      <c r="C3" s="78"/>
      <c r="D3" s="78"/>
      <c r="E3" s="78"/>
      <c r="F3" s="78"/>
      <c r="G3" s="13" t="s">
        <v>78</v>
      </c>
      <c r="H3" s="13" t="s">
        <v>76</v>
      </c>
      <c r="I3" s="13">
        <f>SUMIF(Mercado_Receita!$S$2:$S$391,"44440A4AzulNão se aplicaNão se aplicaNão se aplicaNão se aplicaFora ponta",Mercado_Receita!$J$2:$J$391)+SUMIF(Mercado_Receita!$S$2:$S$391,"44440A4AzulNão se aplicaNão se aplicaAPENão se aplicaFora ponta",Mercado_Receita!$J$2:$J$391)</f>
        <v>0</v>
      </c>
      <c r="J3" s="13">
        <f>SUMIF(Mercado_Receita!$S$2:$S$391,"44470A4AzulNão se aplicaNão se aplicaNão se aplicaNão se aplicaFora ponta",Mercado_Receita!$J$2:$J$391)+SUMIF(Mercado_Receita!$S$2:$S$391,"44470A4AzulNão se aplicaNão se aplicaAPENão se aplicaFora ponta",Mercado_Receita!$J$2:$J$391)</f>
        <v>0</v>
      </c>
      <c r="K3" s="13">
        <f>SUMIF(Mercado_Receita!$S$2:$S$391,"44501A4AzulNão se aplicaNão se aplicaNão se aplicaNão se aplicaFora ponta",Mercado_Receita!$J$2:$J$391)+SUMIF(Mercado_Receita!$S$2:$S$391,"44501A4AzulNão se aplicaNão se aplicaAPENão se aplicaFora ponta",Mercado_Receita!$J$2:$J$391)</f>
        <v>0</v>
      </c>
      <c r="L3" s="13">
        <f>SUMIF(Mercado_Receita!$S$2:$S$391,"44531A4AzulNão se aplicaNão se aplicaNão se aplicaNão se aplicaFora ponta",Mercado_Receita!$J$2:$J$391)+SUMIF(Mercado_Receita!$S$2:$S$391,"44531A4AzulNão se aplicaNão se aplicaAPENão se aplicaFora ponta",Mercado_Receita!$J$2:$J$391)</f>
        <v>0</v>
      </c>
      <c r="M3" s="13">
        <f>SUMIF(Mercado_Receita!$S$2:$S$391,"44562A4AzulNão se aplicaNão se aplicaNão se aplicaNão se aplicaFora ponta",Mercado_Receita!$J$2:$J$391)+SUMIF(Mercado_Receita!$S$2:$S$391,"44562A4AzulNão se aplicaNão se aplicaAPENão se aplicaFora ponta",Mercado_Receita!$J$2:$J$391)</f>
        <v>0</v>
      </c>
      <c r="N3" s="13">
        <f>SUMIF(Mercado_Receita!$S$2:$S$391,"44593A4AzulNão se aplicaNão se aplicaNão se aplicaNão se aplicaFora ponta",Mercado_Receita!$J$2:$J$391)+SUMIF(Mercado_Receita!$S$2:$S$391,"44593A4AzulNão se aplicaNão se aplicaAPENão se aplicaFora ponta",Mercado_Receita!$J$2:$J$391)</f>
        <v>0</v>
      </c>
      <c r="O3" s="13">
        <f>SUMIF(Mercado_Receita!$S$2:$S$391,"44621A4AzulNão se aplicaNão se aplicaNão se aplicaNão se aplicaFora ponta",Mercado_Receita!$J$2:$J$391)+SUMIF(Mercado_Receita!$S$2:$S$391,"44621A4AzulNão se aplicaNão se aplicaAPENão se aplicaFora ponta",Mercado_Receita!$J$2:$J$391)</f>
        <v>0</v>
      </c>
      <c r="P3" s="13">
        <f>SUMIF(Mercado_Receita!$S$2:$S$391,"44652A4AzulNão se aplicaNão se aplicaNão se aplicaNão se aplicaFora ponta",Mercado_Receita!$J$2:$J$391)+SUMIF(Mercado_Receita!$S$2:$S$391,"44652A4AzulNão se aplicaNão se aplicaAPENão se aplicaFora ponta",Mercado_Receita!$J$2:$J$391)</f>
        <v>0</v>
      </c>
      <c r="Q3" s="13">
        <f>SUMIF(Mercado_Receita!$S$2:$S$391,"44682A4AzulNão se aplicaNão se aplicaNão se aplicaNão se aplicaFora ponta",Mercado_Receita!$J$2:$J$391)+SUMIF(Mercado_Receita!$S$2:$S$391,"44682A4AzulNão se aplicaNão se aplicaAPENão se aplicaFora ponta",Mercado_Receita!$J$2:$J$391)</f>
        <v>0</v>
      </c>
      <c r="R3" s="13">
        <f>SUMIF(Mercado_Receita!$S$2:$S$391,"44713A4AzulNão se aplicaNão se aplicaNão se aplicaNão se aplicaFora ponta",Mercado_Receita!$J$2:$J$391)+SUMIF(Mercado_Receita!$S$2:$S$391,"44713A4AzulNão se aplicaNão se aplicaAPENão se aplicaFora ponta",Mercado_Receita!$J$2:$J$391)</f>
        <v>0</v>
      </c>
      <c r="S3" s="13">
        <f>SUMIF(Mercado_Receita!$S$2:$S$391,"44743A4AzulNão se aplicaNão se aplicaNão se aplicaNão se aplicaFora ponta",Mercado_Receita!$J$2:$J$391)+SUMIF(Mercado_Receita!$S$2:$S$391,"44743A4AzulNão se aplicaNão se aplicaAPENão se aplicaFora ponta",Mercado_Receita!$J$2:$J$391)</f>
        <v>0</v>
      </c>
      <c r="T3" s="13">
        <f>SUMIF(Mercado_Receita!$S$2:$S$391,"44774A4AzulNão se aplicaNão se aplicaNão se aplicaNão se aplicaFora ponta",Mercado_Receita!$J$2:$J$391)+SUMIF(Mercado_Receita!$S$2:$S$391,"44774A4AzulNão se aplicaNão se aplicaAPENão se aplicaFora ponta",Mercado_Receita!$J$2:$J$391)</f>
        <v>0</v>
      </c>
      <c r="U3" s="13">
        <f t="shared" si="0"/>
        <v>0</v>
      </c>
      <c r="V3" s="13"/>
      <c r="W3" s="13"/>
    </row>
    <row r="4" spans="1:30" ht="11.25" customHeight="1" x14ac:dyDescent="0.3">
      <c r="A4" s="78"/>
      <c r="B4" s="78"/>
      <c r="C4" s="78"/>
      <c r="D4" s="78"/>
      <c r="E4" s="78"/>
      <c r="F4" s="78"/>
      <c r="G4" s="13" t="s">
        <v>79</v>
      </c>
      <c r="H4" s="13" t="s">
        <v>72</v>
      </c>
      <c r="I4" s="13">
        <f>SUMIF(Mercado_Receita!$S$2:$S$391,"44440A4AzulNão se aplicaNão se aplicaNão se aplicaNão se aplicaPonta",Mercado_Receita!$L$2:$L$391)+SUMIF(Mercado_Receita!$S$2:$S$391,"44440A4AzulNão se aplicaNão se aplicaNão se aplicaNão se aplicaFora ponta",Mercado_Receita!$L$2:$L$391)+SUMIF(Mercado_Receita!$S$2:$S$391,"44440A4AzulNão se aplicaNão se aplicaNão se aplicaNão se aplicaIntermediário",Mercado_Receita!$L$2:$L$391)+SUMIF(Mercado_Receita!$S$2:$S$391,"44440A4AzulNão se aplicaNão se aplicaNão se aplicaNão se aplicaNão se aplica",Mercado_Receita!$L$2:$L$391)</f>
        <v>0</v>
      </c>
      <c r="J4" s="13">
        <f>SUMIF(Mercado_Receita!$S$2:$S$391,"44470A4AzulNão se aplicaNão se aplicaNão se aplicaNão se aplicaPonta",Mercado_Receita!$L$2:$L$391)+SUMIF(Mercado_Receita!$S$2:$S$391,"44470A4AzulNão se aplicaNão se aplicaNão se aplicaNão se aplicaFora ponta",Mercado_Receita!$L$2:$L$391)+SUMIF(Mercado_Receita!$S$2:$S$391,"44470A4AzulNão se aplicaNão se aplicaNão se aplicaNão se aplicaIntermediário",Mercado_Receita!$L$2:$L$391)+SUMIF(Mercado_Receita!$S$2:$S$391,"44470A4AzulNão se aplicaNão se aplicaNão se aplicaNão se aplicaNão se aplica",Mercado_Receita!$L$2:$L$391)</f>
        <v>0</v>
      </c>
      <c r="K4" s="13">
        <f>SUMIF(Mercado_Receita!$S$2:$S$391,"44501A4AzulNão se aplicaNão se aplicaNão se aplicaNão se aplicaPonta",Mercado_Receita!$L$2:$L$391)+SUMIF(Mercado_Receita!$S$2:$S$391,"44501A4AzulNão se aplicaNão se aplicaNão se aplicaNão se aplicaFora ponta",Mercado_Receita!$L$2:$L$391)+SUMIF(Mercado_Receita!$S$2:$S$391,"44501A4AzulNão se aplicaNão se aplicaNão se aplicaNão se aplicaIntermediário",Mercado_Receita!$L$2:$L$391)+SUMIF(Mercado_Receita!$S$2:$S$391,"44501A4AzulNão se aplicaNão se aplicaNão se aplicaNão se aplicaNão se aplica",Mercado_Receita!$L$2:$L$391)</f>
        <v>0</v>
      </c>
      <c r="L4" s="13">
        <f>SUMIF(Mercado_Receita!$S$2:$S$391,"44531A4AzulNão se aplicaNão se aplicaNão se aplicaNão se aplicaPonta",Mercado_Receita!$L$2:$L$391)+SUMIF(Mercado_Receita!$S$2:$S$391,"44531A4AzulNão se aplicaNão se aplicaNão se aplicaNão se aplicaFora ponta",Mercado_Receita!$L$2:$L$391)+SUMIF(Mercado_Receita!$S$2:$S$391,"44531A4AzulNão se aplicaNão se aplicaNão se aplicaNão se aplicaIntermediário",Mercado_Receita!$L$2:$L$391)+SUMIF(Mercado_Receita!$S$2:$S$391,"44531A4AzulNão se aplicaNão se aplicaNão se aplicaNão se aplicaNão se aplica",Mercado_Receita!$L$2:$L$391)</f>
        <v>0</v>
      </c>
      <c r="M4" s="13">
        <f>SUMIF(Mercado_Receita!$S$2:$S$391,"44562A4AzulNão se aplicaNão se aplicaNão se aplicaNão se aplicaPonta",Mercado_Receita!$L$2:$L$391)+SUMIF(Mercado_Receita!$S$2:$S$391,"44562A4AzulNão se aplicaNão se aplicaNão se aplicaNão se aplicaFora ponta",Mercado_Receita!$L$2:$L$391)+SUMIF(Mercado_Receita!$S$2:$S$391,"44562A4AzulNão se aplicaNão se aplicaNão se aplicaNão se aplicaIntermediário",Mercado_Receita!$L$2:$L$391)+SUMIF(Mercado_Receita!$S$2:$S$391,"44562A4AzulNão se aplicaNão se aplicaNão se aplicaNão se aplicaNão se aplica",Mercado_Receita!$L$2:$L$391)</f>
        <v>0</v>
      </c>
      <c r="N4" s="13">
        <f>SUMIF(Mercado_Receita!$S$2:$S$391,"44593A4AzulNão se aplicaNão se aplicaNão se aplicaNão se aplicaPonta",Mercado_Receita!$L$2:$L$391)+SUMIF(Mercado_Receita!$S$2:$S$391,"44593A4AzulNão se aplicaNão se aplicaNão se aplicaNão se aplicaFora ponta",Mercado_Receita!$L$2:$L$391)+SUMIF(Mercado_Receita!$S$2:$S$391,"44593A4AzulNão se aplicaNão se aplicaNão se aplicaNão se aplicaIntermediário",Mercado_Receita!$L$2:$L$391)+SUMIF(Mercado_Receita!$S$2:$S$391,"44593A4AzulNão se aplicaNão se aplicaNão se aplicaNão se aplicaNão se aplica",Mercado_Receita!$L$2:$L$391)</f>
        <v>0</v>
      </c>
      <c r="O4" s="13">
        <f>SUMIF(Mercado_Receita!$S$2:$S$391,"44621A4AzulNão se aplicaNão se aplicaNão se aplicaNão se aplicaPonta",Mercado_Receita!$L$2:$L$391)+SUMIF(Mercado_Receita!$S$2:$S$391,"44621A4AzulNão se aplicaNão se aplicaNão se aplicaNão se aplicaFora ponta",Mercado_Receita!$L$2:$L$391)+SUMIF(Mercado_Receita!$S$2:$S$391,"44621A4AzulNão se aplicaNão se aplicaNão se aplicaNão se aplicaIntermediário",Mercado_Receita!$L$2:$L$391)+SUMIF(Mercado_Receita!$S$2:$S$391,"44621A4AzulNão se aplicaNão se aplicaNão se aplicaNão se aplicaNão se aplica",Mercado_Receita!$L$2:$L$391)</f>
        <v>0</v>
      </c>
      <c r="P4" s="13">
        <f>SUMIF(Mercado_Receita!$S$2:$S$391,"44652A4AzulNão se aplicaNão se aplicaNão se aplicaNão se aplicaPonta",Mercado_Receita!$L$2:$L$391)+SUMIF(Mercado_Receita!$S$2:$S$391,"44652A4AzulNão se aplicaNão se aplicaNão se aplicaNão se aplicaFora ponta",Mercado_Receita!$L$2:$L$391)+SUMIF(Mercado_Receita!$S$2:$S$391,"44652A4AzulNão se aplicaNão se aplicaNão se aplicaNão se aplicaIntermediário",Mercado_Receita!$L$2:$L$391)+SUMIF(Mercado_Receita!$S$2:$S$391,"44652A4AzulNão se aplicaNão se aplicaNão se aplicaNão se aplicaNão se aplica",Mercado_Receita!$L$2:$L$391)</f>
        <v>0</v>
      </c>
      <c r="Q4" s="13">
        <f>SUMIF(Mercado_Receita!$S$2:$S$391,"44682A4AzulNão se aplicaNão se aplicaNão se aplicaNão se aplicaPonta",Mercado_Receita!$L$2:$L$391)+SUMIF(Mercado_Receita!$S$2:$S$391,"44682A4AzulNão se aplicaNão se aplicaNão se aplicaNão se aplicaFora ponta",Mercado_Receita!$L$2:$L$391)+SUMIF(Mercado_Receita!$S$2:$S$391,"44682A4AzulNão se aplicaNão se aplicaNão se aplicaNão se aplicaIntermediário",Mercado_Receita!$L$2:$L$391)+SUMIF(Mercado_Receita!$S$2:$S$391,"44682A4AzulNão se aplicaNão se aplicaNão se aplicaNão se aplicaNão se aplica",Mercado_Receita!$L$2:$L$391)</f>
        <v>0</v>
      </c>
      <c r="R4" s="13">
        <f>SUMIF(Mercado_Receita!$S$2:$S$391,"44713A4AzulNão se aplicaNão se aplicaNão se aplicaNão se aplicaPonta",Mercado_Receita!$L$2:$L$391)+SUMIF(Mercado_Receita!$S$2:$S$391,"44713A4AzulNão se aplicaNão se aplicaNão se aplicaNão se aplicaFora ponta",Mercado_Receita!$L$2:$L$391)+SUMIF(Mercado_Receita!$S$2:$S$391,"44713A4AzulNão se aplicaNão se aplicaNão se aplicaNão se aplicaIntermediário",Mercado_Receita!$L$2:$L$391)+SUMIF(Mercado_Receita!$S$2:$S$391,"44713A4AzulNão se aplicaNão se aplicaNão se aplicaNão se aplicaNão se aplica",Mercado_Receita!$L$2:$L$391)</f>
        <v>0</v>
      </c>
      <c r="S4" s="13">
        <f>SUMIF(Mercado_Receita!$S$2:$S$391,"44743A4AzulNão se aplicaNão se aplicaNão se aplicaNão se aplicaPonta",Mercado_Receita!$L$2:$L$391)+SUMIF(Mercado_Receita!$S$2:$S$391,"44743A4AzulNão se aplicaNão se aplicaNão se aplicaNão se aplicaFora ponta",Mercado_Receita!$L$2:$L$391)+SUMIF(Mercado_Receita!$S$2:$S$391,"44743A4AzulNão se aplicaNão se aplicaNão se aplicaNão se aplicaIntermediário",Mercado_Receita!$L$2:$L$391)+SUMIF(Mercado_Receita!$S$2:$S$391,"44743A4AzulNão se aplicaNão se aplicaNão se aplicaNão se aplicaNão se aplica",Mercado_Receita!$L$2:$L$391)</f>
        <v>0</v>
      </c>
      <c r="T4" s="13">
        <f>SUMIF(Mercado_Receita!$S$2:$S$391,"44774A4AzulNão se aplicaNão se aplicaNão se aplicaNão se aplicaPonta",Mercado_Receita!$L$2:$L$391)+SUMIF(Mercado_Receita!$S$2:$S$391,"44774A4AzulNão se aplicaNão se aplicaNão se aplicaNão se aplicaFora ponta",Mercado_Receita!$L$2:$L$391)+SUMIF(Mercado_Receita!$S$2:$S$391,"44774A4AzulNão se aplicaNão se aplicaNão se aplicaNão se aplicaIntermediário",Mercado_Receita!$L$2:$L$391)+SUMIF(Mercado_Receita!$S$2:$S$391,"44774A4AzulNão se aplicaNão se aplicaNão se aplicaNão se aplicaNão se aplica",Mercado_Receita!$L$2:$L$391)</f>
        <v>0</v>
      </c>
      <c r="U4" s="13">
        <f t="shared" si="0"/>
        <v>0</v>
      </c>
      <c r="V4" s="13"/>
      <c r="W4" s="13"/>
    </row>
    <row r="5" spans="1:30" ht="11.25" customHeight="1" x14ac:dyDescent="0.3">
      <c r="A5" s="78"/>
      <c r="B5" s="78"/>
      <c r="C5" s="78"/>
      <c r="D5" s="78"/>
      <c r="E5" s="12" t="s">
        <v>80</v>
      </c>
      <c r="F5" s="12" t="s">
        <v>25</v>
      </c>
      <c r="G5" s="13" t="s">
        <v>79</v>
      </c>
      <c r="H5" s="13" t="s">
        <v>72</v>
      </c>
      <c r="I5" s="13">
        <f>SUMIF(Mercado_Receita!$S$2:$S$391,"44440A4AzulNão se aplicaNão se aplicaAPENão se aplicaPonta",Mercado_Receita!$L$2:$L$391)+SUMIF(Mercado_Receita!$S$2:$S$391,"44440A4AzulNão se aplicaNão se aplicaAPENão se aplicaFora ponta",Mercado_Receita!$L$2:$L$391)+SUMIF(Mercado_Receita!$S$2:$S$391,"44440A4AzulNão se aplicaNão se aplicaAPENão se aplicaIntermediário",Mercado_Receita!$L$2:$L$391)+SUMIF(Mercado_Receita!$S$2:$S$391,"44440A4AzulNão se aplicaNão se aplicaAPENão se aplicaNão se aplica",Mercado_Receita!$L$2:$L$391)</f>
        <v>0</v>
      </c>
      <c r="J5" s="13">
        <f>SUMIF(Mercado_Receita!$S$2:$S$391,"44470A4AzulNão se aplicaNão se aplicaAPENão se aplicaPonta",Mercado_Receita!$L$2:$L$391)+SUMIF(Mercado_Receita!$S$2:$S$391,"44470A4AzulNão se aplicaNão se aplicaAPENão se aplicaFora ponta",Mercado_Receita!$L$2:$L$391)+SUMIF(Mercado_Receita!$S$2:$S$391,"44470A4AzulNão se aplicaNão se aplicaAPENão se aplicaIntermediário",Mercado_Receita!$L$2:$L$391)+SUMIF(Mercado_Receita!$S$2:$S$391,"44470A4AzulNão se aplicaNão se aplicaAPENão se aplicaNão se aplica",Mercado_Receita!$L$2:$L$391)</f>
        <v>0</v>
      </c>
      <c r="K5" s="13">
        <f>SUMIF(Mercado_Receita!$S$2:$S$391,"44501A4AzulNão se aplicaNão se aplicaAPENão se aplicaPonta",Mercado_Receita!$L$2:$L$391)+SUMIF(Mercado_Receita!$S$2:$S$391,"44501A4AzulNão se aplicaNão se aplicaAPENão se aplicaFora ponta",Mercado_Receita!$L$2:$L$391)+SUMIF(Mercado_Receita!$S$2:$S$391,"44501A4AzulNão se aplicaNão se aplicaAPENão se aplicaIntermediário",Mercado_Receita!$L$2:$L$391)+SUMIF(Mercado_Receita!$S$2:$S$391,"44501A4AzulNão se aplicaNão se aplicaAPENão se aplicaNão se aplica",Mercado_Receita!$L$2:$L$391)</f>
        <v>0</v>
      </c>
      <c r="L5" s="13">
        <f>SUMIF(Mercado_Receita!$S$2:$S$391,"44531A4AzulNão se aplicaNão se aplicaAPENão se aplicaPonta",Mercado_Receita!$L$2:$L$391)+SUMIF(Mercado_Receita!$S$2:$S$391,"44531A4AzulNão se aplicaNão se aplicaAPENão se aplicaFora ponta",Mercado_Receita!$L$2:$L$391)+SUMIF(Mercado_Receita!$S$2:$S$391,"44531A4AzulNão se aplicaNão se aplicaAPENão se aplicaIntermediário",Mercado_Receita!$L$2:$L$391)+SUMIF(Mercado_Receita!$S$2:$S$391,"44531A4AzulNão se aplicaNão se aplicaAPENão se aplicaNão se aplica",Mercado_Receita!$L$2:$L$391)</f>
        <v>0</v>
      </c>
      <c r="M5" s="13">
        <f>SUMIF(Mercado_Receita!$S$2:$S$391,"44562A4AzulNão se aplicaNão se aplicaAPENão se aplicaPonta",Mercado_Receita!$L$2:$L$391)+SUMIF(Mercado_Receita!$S$2:$S$391,"44562A4AzulNão se aplicaNão se aplicaAPENão se aplicaFora ponta",Mercado_Receita!$L$2:$L$391)+SUMIF(Mercado_Receita!$S$2:$S$391,"44562A4AzulNão se aplicaNão se aplicaAPENão se aplicaIntermediário",Mercado_Receita!$L$2:$L$391)+SUMIF(Mercado_Receita!$S$2:$S$391,"44562A4AzulNão se aplicaNão se aplicaAPENão se aplicaNão se aplica",Mercado_Receita!$L$2:$L$391)</f>
        <v>0</v>
      </c>
      <c r="N5" s="13">
        <f>SUMIF(Mercado_Receita!$S$2:$S$391,"44593A4AzulNão se aplicaNão se aplicaAPENão se aplicaPonta",Mercado_Receita!$L$2:$L$391)+SUMIF(Mercado_Receita!$S$2:$S$391,"44593A4AzulNão se aplicaNão se aplicaAPENão se aplicaFora ponta",Mercado_Receita!$L$2:$L$391)+SUMIF(Mercado_Receita!$S$2:$S$391,"44593A4AzulNão se aplicaNão se aplicaAPENão se aplicaIntermediário",Mercado_Receita!$L$2:$L$391)+SUMIF(Mercado_Receita!$S$2:$S$391,"44593A4AzulNão se aplicaNão se aplicaAPENão se aplicaNão se aplica",Mercado_Receita!$L$2:$L$391)</f>
        <v>0</v>
      </c>
      <c r="O5" s="13">
        <f>SUMIF(Mercado_Receita!$S$2:$S$391,"44621A4AzulNão se aplicaNão se aplicaAPENão se aplicaPonta",Mercado_Receita!$L$2:$L$391)+SUMIF(Mercado_Receita!$S$2:$S$391,"44621A4AzulNão se aplicaNão se aplicaAPENão se aplicaFora ponta",Mercado_Receita!$L$2:$L$391)+SUMIF(Mercado_Receita!$S$2:$S$391,"44621A4AzulNão se aplicaNão se aplicaAPENão se aplicaIntermediário",Mercado_Receita!$L$2:$L$391)+SUMIF(Mercado_Receita!$S$2:$S$391,"44621A4AzulNão se aplicaNão se aplicaAPENão se aplicaNão se aplica",Mercado_Receita!$L$2:$L$391)</f>
        <v>0</v>
      </c>
      <c r="P5" s="13">
        <f>SUMIF(Mercado_Receita!$S$2:$S$391,"44652A4AzulNão se aplicaNão se aplicaAPENão se aplicaPonta",Mercado_Receita!$L$2:$L$391)+SUMIF(Mercado_Receita!$S$2:$S$391,"44652A4AzulNão se aplicaNão se aplicaAPENão se aplicaFora ponta",Mercado_Receita!$L$2:$L$391)+SUMIF(Mercado_Receita!$S$2:$S$391,"44652A4AzulNão se aplicaNão se aplicaAPENão se aplicaIntermediário",Mercado_Receita!$L$2:$L$391)+SUMIF(Mercado_Receita!$S$2:$S$391,"44652A4AzulNão se aplicaNão se aplicaAPENão se aplicaNão se aplica",Mercado_Receita!$L$2:$L$391)</f>
        <v>0</v>
      </c>
      <c r="Q5" s="13">
        <f>SUMIF(Mercado_Receita!$S$2:$S$391,"44682A4AzulNão se aplicaNão se aplicaAPENão se aplicaPonta",Mercado_Receita!$L$2:$L$391)+SUMIF(Mercado_Receita!$S$2:$S$391,"44682A4AzulNão se aplicaNão se aplicaAPENão se aplicaFora ponta",Mercado_Receita!$L$2:$L$391)+SUMIF(Mercado_Receita!$S$2:$S$391,"44682A4AzulNão se aplicaNão se aplicaAPENão se aplicaIntermediário",Mercado_Receita!$L$2:$L$391)+SUMIF(Mercado_Receita!$S$2:$S$391,"44682A4AzulNão se aplicaNão se aplicaAPENão se aplicaNão se aplica",Mercado_Receita!$L$2:$L$391)</f>
        <v>0</v>
      </c>
      <c r="R5" s="13">
        <f>SUMIF(Mercado_Receita!$S$2:$S$391,"44713A4AzulNão se aplicaNão se aplicaAPENão se aplicaPonta",Mercado_Receita!$L$2:$L$391)+SUMIF(Mercado_Receita!$S$2:$S$391,"44713A4AzulNão se aplicaNão se aplicaAPENão se aplicaFora ponta",Mercado_Receita!$L$2:$L$391)+SUMIF(Mercado_Receita!$S$2:$S$391,"44713A4AzulNão se aplicaNão se aplicaAPENão se aplicaIntermediário",Mercado_Receita!$L$2:$L$391)+SUMIF(Mercado_Receita!$S$2:$S$391,"44713A4AzulNão se aplicaNão se aplicaAPENão se aplicaNão se aplica",Mercado_Receita!$L$2:$L$391)</f>
        <v>0</v>
      </c>
      <c r="S5" s="13">
        <f>SUMIF(Mercado_Receita!$S$2:$S$391,"44743A4AzulNão se aplicaNão se aplicaAPENão se aplicaPonta",Mercado_Receita!$L$2:$L$391)+SUMIF(Mercado_Receita!$S$2:$S$391,"44743A4AzulNão se aplicaNão se aplicaAPENão se aplicaFora ponta",Mercado_Receita!$L$2:$L$391)+SUMIF(Mercado_Receita!$S$2:$S$391,"44743A4AzulNão se aplicaNão se aplicaAPENão se aplicaIntermediário",Mercado_Receita!$L$2:$L$391)+SUMIF(Mercado_Receita!$S$2:$S$391,"44743A4AzulNão se aplicaNão se aplicaAPENão se aplicaNão se aplica",Mercado_Receita!$L$2:$L$391)</f>
        <v>0</v>
      </c>
      <c r="T5" s="13">
        <f>SUMIF(Mercado_Receita!$S$2:$S$391,"44774A4AzulNão se aplicaNão se aplicaAPENão se aplicaPonta",Mercado_Receita!$L$2:$L$391)+SUMIF(Mercado_Receita!$S$2:$S$391,"44774A4AzulNão se aplicaNão se aplicaAPENão se aplicaFora ponta",Mercado_Receita!$L$2:$L$391)+SUMIF(Mercado_Receita!$S$2:$S$391,"44774A4AzulNão se aplicaNão se aplicaAPENão se aplicaIntermediário",Mercado_Receita!$L$2:$L$391)+SUMIF(Mercado_Receita!$S$2:$S$391,"44774A4AzulNão se aplicaNão se aplicaAPENão se aplicaNão se aplica",Mercado_Receita!$L$2:$L$391)</f>
        <v>0</v>
      </c>
      <c r="U5" s="13">
        <f t="shared" si="0"/>
        <v>0</v>
      </c>
      <c r="V5" s="13"/>
      <c r="W5" s="13"/>
    </row>
    <row r="6" spans="1:30" ht="11.25" customHeight="1" x14ac:dyDescent="0.3">
      <c r="A6" s="78"/>
      <c r="B6" s="12" t="s">
        <v>81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76</v>
      </c>
      <c r="I6" s="13">
        <f>SUMIF(Mercado_Receita!$S$2:$S$391,"44440A4GeraçãoNão se aplicaNão se aplicaNão se aplicaNão se aplicaNão se aplica",Mercado_Receita!$J$2:$J$391)+SUMIF(Mercado_Receita!$S$2:$S$391,"44440A4GeraçãoNão se aplicaNão se aplicaAPENão se aplicaNão se aplica",Mercado_Receita!$J$2:$J$391)</f>
        <v>0</v>
      </c>
      <c r="J6" s="13">
        <f>SUMIF(Mercado_Receita!$S$2:$S$391,"44470A4GeraçãoNão se aplicaNão se aplicaNão se aplicaNão se aplicaNão se aplica",Mercado_Receita!$J$2:$J$391)+SUMIF(Mercado_Receita!$S$2:$S$391,"44470A4GeraçãoNão se aplicaNão se aplicaAPENão se aplicaNão se aplica",Mercado_Receita!$J$2:$J$391)</f>
        <v>0</v>
      </c>
      <c r="K6" s="13">
        <f>SUMIF(Mercado_Receita!$S$2:$S$391,"44501A4GeraçãoNão se aplicaNão se aplicaNão se aplicaNão se aplicaNão se aplica",Mercado_Receita!$J$2:$J$391)+SUMIF(Mercado_Receita!$S$2:$S$391,"44501A4GeraçãoNão se aplicaNão se aplicaAPENão se aplicaNão se aplica",Mercado_Receita!$J$2:$J$391)</f>
        <v>0</v>
      </c>
      <c r="L6" s="13">
        <f>SUMIF(Mercado_Receita!$S$2:$S$391,"44531A4GeraçãoNão se aplicaNão se aplicaNão se aplicaNão se aplicaNão se aplica",Mercado_Receita!$J$2:$J$391)+SUMIF(Mercado_Receita!$S$2:$S$391,"44531A4GeraçãoNão se aplicaNão se aplicaAPENão se aplicaNão se aplica",Mercado_Receita!$J$2:$J$391)</f>
        <v>0</v>
      </c>
      <c r="M6" s="13">
        <f>SUMIF(Mercado_Receita!$S$2:$S$391,"44562A4GeraçãoNão se aplicaNão se aplicaNão se aplicaNão se aplicaNão se aplica",Mercado_Receita!$J$2:$J$391)+SUMIF(Mercado_Receita!$S$2:$S$391,"44562A4GeraçãoNão se aplicaNão se aplicaAPENão se aplicaNão se aplica",Mercado_Receita!$J$2:$J$391)</f>
        <v>0</v>
      </c>
      <c r="N6" s="13">
        <f>SUMIF(Mercado_Receita!$S$2:$S$391,"44593A4GeraçãoNão se aplicaNão se aplicaNão se aplicaNão se aplicaNão se aplica",Mercado_Receita!$J$2:$J$391)+SUMIF(Mercado_Receita!$S$2:$S$391,"44593A4GeraçãoNão se aplicaNão se aplicaAPENão se aplicaNão se aplica",Mercado_Receita!$J$2:$J$391)</f>
        <v>0</v>
      </c>
      <c r="O6" s="13">
        <f>SUMIF(Mercado_Receita!$S$2:$S$391,"44621A4GeraçãoNão se aplicaNão se aplicaNão se aplicaNão se aplicaNão se aplica",Mercado_Receita!$J$2:$J$391)+SUMIF(Mercado_Receita!$S$2:$S$391,"44621A4GeraçãoNão se aplicaNão se aplicaAPENão se aplicaNão se aplica",Mercado_Receita!$J$2:$J$391)</f>
        <v>0</v>
      </c>
      <c r="P6" s="13">
        <f>SUMIF(Mercado_Receita!$S$2:$S$391,"44652A4GeraçãoNão se aplicaNão se aplicaNão se aplicaNão se aplicaNão se aplica",Mercado_Receita!$J$2:$J$391)+SUMIF(Mercado_Receita!$S$2:$S$391,"44652A4GeraçãoNão se aplicaNão se aplicaAPENão se aplicaNão se aplica",Mercado_Receita!$J$2:$J$391)</f>
        <v>0</v>
      </c>
      <c r="Q6" s="13">
        <f>SUMIF(Mercado_Receita!$S$2:$S$391,"44682A4GeraçãoNão se aplicaNão se aplicaNão se aplicaNão se aplicaNão se aplica",Mercado_Receita!$J$2:$J$391)+SUMIF(Mercado_Receita!$S$2:$S$391,"44682A4GeraçãoNão se aplicaNão se aplicaAPENão se aplicaNão se aplica",Mercado_Receita!$J$2:$J$391)</f>
        <v>0</v>
      </c>
      <c r="R6" s="13">
        <f>SUMIF(Mercado_Receita!$S$2:$S$391,"44713A4GeraçãoNão se aplicaNão se aplicaNão se aplicaNão se aplicaNão se aplica",Mercado_Receita!$J$2:$J$391)+SUMIF(Mercado_Receita!$S$2:$S$391,"44713A4GeraçãoNão se aplicaNão se aplicaAPENão se aplicaNão se aplica",Mercado_Receita!$J$2:$J$391)</f>
        <v>0</v>
      </c>
      <c r="S6" s="13">
        <f>SUMIF(Mercado_Receita!$S$2:$S$391,"44743A4GeraçãoNão se aplicaNão se aplicaNão se aplicaNão se aplicaNão se aplica",Mercado_Receita!$J$2:$J$391)+SUMIF(Mercado_Receita!$S$2:$S$391,"44743A4GeraçãoNão se aplicaNão se aplicaAPENão se aplicaNão se aplica",Mercado_Receita!$J$2:$J$391)</f>
        <v>0</v>
      </c>
      <c r="T6" s="13">
        <f>SUMIF(Mercado_Receita!$S$2:$S$391,"44774A4GeraçãoNão se aplicaNão se aplicaNão se aplicaNão se aplicaNão se aplica",Mercado_Receita!$J$2:$J$391)+SUMIF(Mercado_Receita!$S$2:$S$391,"44774A4GeraçãoNão se aplicaNão se aplicaAPENão se aplicaNão se aplica",Mercado_Receita!$J$2:$J$391)</f>
        <v>0</v>
      </c>
      <c r="U6" s="13">
        <f t="shared" si="0"/>
        <v>0</v>
      </c>
      <c r="V6" s="13"/>
      <c r="W6" s="13"/>
    </row>
    <row r="7" spans="1:30" ht="11.25" customHeight="1" x14ac:dyDescent="0.3">
      <c r="A7" s="78"/>
      <c r="B7" s="77" t="s">
        <v>36</v>
      </c>
      <c r="C7" s="77" t="s">
        <v>25</v>
      </c>
      <c r="D7" s="77" t="s">
        <v>25</v>
      </c>
      <c r="E7" s="77" t="s">
        <v>25</v>
      </c>
      <c r="F7" s="77" t="s">
        <v>25</v>
      </c>
      <c r="G7" s="13" t="s">
        <v>9</v>
      </c>
      <c r="H7" s="13" t="s">
        <v>76</v>
      </c>
      <c r="I7" s="13">
        <f>SUMIF(Mercado_Receita!$S$2:$S$391,"44440A4VerdeNão se aplicaNão se aplicaNão se aplicaNão se aplicaNão se aplica",Mercado_Receita!$J$2:$J$391)+SUMIF(Mercado_Receita!$S$2:$S$391,"44440A4VerdeNão se aplicaNão se aplicaAPENão se aplicaNão se aplica",Mercado_Receita!$J$2:$J$391)</f>
        <v>5478</v>
      </c>
      <c r="J7" s="13">
        <f>SUMIF(Mercado_Receita!$S$2:$S$391,"44470A4VerdeNão se aplicaNão se aplicaNão se aplicaNão se aplicaNão se aplica",Mercado_Receita!$J$2:$J$391)+SUMIF(Mercado_Receita!$S$2:$S$391,"44470A4VerdeNão se aplicaNão se aplicaAPENão se aplicaNão se aplica",Mercado_Receita!$J$2:$J$391)</f>
        <v>5261</v>
      </c>
      <c r="K7" s="13">
        <f>SUMIF(Mercado_Receita!$S$2:$S$391,"44501A4VerdeNão se aplicaNão se aplicaNão se aplicaNão se aplicaNão se aplica",Mercado_Receita!$J$2:$J$391)+SUMIF(Mercado_Receita!$S$2:$S$391,"44501A4VerdeNão se aplicaNão se aplicaAPENão se aplicaNão se aplica",Mercado_Receita!$J$2:$J$391)</f>
        <v>5499</v>
      </c>
      <c r="L7" s="13">
        <f>SUMIF(Mercado_Receita!$S$2:$S$391,"44531A4VerdeNão se aplicaNão se aplicaNão se aplicaNão se aplicaNão se aplica",Mercado_Receita!$J$2:$J$391)+SUMIF(Mercado_Receita!$S$2:$S$391,"44531A4VerdeNão se aplicaNão se aplicaAPENão se aplicaNão se aplica",Mercado_Receita!$J$2:$J$391)</f>
        <v>5052</v>
      </c>
      <c r="M7" s="13">
        <f>SUMIF(Mercado_Receita!$S$2:$S$391,"44562A4VerdeNão se aplicaNão se aplicaNão se aplicaNão se aplicaNão se aplica",Mercado_Receita!$J$2:$J$391)+SUMIF(Mercado_Receita!$S$2:$S$391,"44562A4VerdeNão se aplicaNão se aplicaAPENão se aplicaNão se aplica",Mercado_Receita!$J$2:$J$391)</f>
        <v>5373</v>
      </c>
      <c r="N7" s="13">
        <f>SUMIF(Mercado_Receita!$S$2:$S$391,"44593A4VerdeNão se aplicaNão se aplicaNão se aplicaNão se aplicaNão se aplica",Mercado_Receita!$J$2:$J$391)+SUMIF(Mercado_Receita!$S$2:$S$391,"44593A4VerdeNão se aplicaNão se aplicaAPENão se aplicaNão se aplica",Mercado_Receita!$J$2:$J$391)</f>
        <v>5844</v>
      </c>
      <c r="O7" s="13">
        <f>SUMIF(Mercado_Receita!$S$2:$S$391,"44621A4VerdeNão se aplicaNão se aplicaNão se aplicaNão se aplicaNão se aplica",Mercado_Receita!$J$2:$J$391)+SUMIF(Mercado_Receita!$S$2:$S$391,"44621A4VerdeNão se aplicaNão se aplicaAPENão se aplicaNão se aplica",Mercado_Receita!$J$2:$J$391)</f>
        <v>6528</v>
      </c>
      <c r="P7" s="13">
        <f>SUMIF(Mercado_Receita!$S$2:$S$391,"44652A4VerdeNão se aplicaNão se aplicaNão se aplicaNão se aplicaNão se aplica",Mercado_Receita!$J$2:$J$391)+SUMIF(Mercado_Receita!$S$2:$S$391,"44652A4VerdeNão se aplicaNão se aplicaAPENão se aplicaNão se aplica",Mercado_Receita!$J$2:$J$391)</f>
        <v>6930</v>
      </c>
      <c r="Q7" s="13">
        <f>SUMIF(Mercado_Receita!$S$2:$S$391,"44682A4VerdeNão se aplicaNão se aplicaNão se aplicaNão se aplicaNão se aplica",Mercado_Receita!$J$2:$J$391)+SUMIF(Mercado_Receita!$S$2:$S$391,"44682A4VerdeNão se aplicaNão se aplicaAPENão se aplicaNão se aplica",Mercado_Receita!$J$2:$J$391)</f>
        <v>6872</v>
      </c>
      <c r="R7" s="13">
        <f>SUMIF(Mercado_Receita!$S$2:$S$391,"44713A4VerdeNão se aplicaNão se aplicaNão se aplicaNão se aplicaNão se aplica",Mercado_Receita!$J$2:$J$391)+SUMIF(Mercado_Receita!$S$2:$S$391,"44713A4VerdeNão se aplicaNão se aplicaAPENão se aplicaNão se aplica",Mercado_Receita!$J$2:$J$391)</f>
        <v>6864</v>
      </c>
      <c r="S7" s="13">
        <f>SUMIF(Mercado_Receita!$S$2:$S$391,"44743A4VerdeNão se aplicaNão se aplicaNão se aplicaNão se aplicaNão se aplica",Mercado_Receita!$J$2:$J$391)+SUMIF(Mercado_Receita!$S$2:$S$391,"44743A4VerdeNão se aplicaNão se aplicaAPENão se aplicaNão se aplica",Mercado_Receita!$J$2:$J$391)</f>
        <v>6388</v>
      </c>
      <c r="T7" s="13">
        <f>SUMIF(Mercado_Receita!$S$2:$S$391,"44774A4VerdeNão se aplicaNão se aplicaNão se aplicaNão se aplicaNão se aplica",Mercado_Receita!$J$2:$J$391)+SUMIF(Mercado_Receita!$S$2:$S$391,"44774A4VerdeNão se aplicaNão se aplicaAPENão se aplicaNão se aplica",Mercado_Receita!$J$2:$J$391)</f>
        <v>6388</v>
      </c>
      <c r="U7" s="13">
        <f t="shared" si="0"/>
        <v>72477</v>
      </c>
      <c r="V7" s="13"/>
      <c r="W7" s="13"/>
    </row>
    <row r="8" spans="1:30" ht="11.25" customHeight="1" x14ac:dyDescent="0.3">
      <c r="A8" s="78"/>
      <c r="B8" s="78"/>
      <c r="C8" s="78"/>
      <c r="D8" s="78"/>
      <c r="E8" s="78"/>
      <c r="F8" s="78"/>
      <c r="G8" s="13" t="s">
        <v>73</v>
      </c>
      <c r="H8" s="13" t="s">
        <v>72</v>
      </c>
      <c r="I8" s="13">
        <f>SUMIF(Mercado_Receita!$S$2:$S$391,"44440A4VerdeNão se aplicaNão se aplicaNão se aplicaNão se aplicaPonta",Mercado_Receita!$L$2:$L$391)</f>
        <v>127.592</v>
      </c>
      <c r="J8" s="13">
        <f>SUMIF(Mercado_Receita!$S$2:$S$391,"44470A4VerdeNão se aplicaNão se aplicaNão se aplicaNão se aplicaPonta",Mercado_Receita!$L$2:$L$391)</f>
        <v>117.67699999999999</v>
      </c>
      <c r="K8" s="13">
        <f>SUMIF(Mercado_Receita!$S$2:$S$391,"44501A4VerdeNão se aplicaNão se aplicaNão se aplicaNão se aplicaPonta",Mercado_Receita!$L$2:$L$391)</f>
        <v>120.59599999999999</v>
      </c>
      <c r="L8" s="13">
        <f>SUMIF(Mercado_Receita!$S$2:$S$391,"44531A4VerdeNão se aplicaNão se aplicaNão se aplicaNão se aplicaPonta",Mercado_Receita!$L$2:$L$391)</f>
        <v>141.52799999999999</v>
      </c>
      <c r="M8" s="13">
        <f>SUMIF(Mercado_Receita!$S$2:$S$391,"44562A4VerdeNão se aplicaNão se aplicaNão se aplicaNão se aplicaPonta",Mercado_Receita!$L$2:$L$391)</f>
        <v>153.22799999999998</v>
      </c>
      <c r="N8" s="13">
        <f>SUMIF(Mercado_Receita!$S$2:$S$391,"44593A4VerdeNão se aplicaNão se aplicaNão se aplicaNão se aplicaPonta",Mercado_Receita!$L$2:$L$391)</f>
        <v>151.77500000000001</v>
      </c>
      <c r="O8" s="13">
        <f>SUMIF(Mercado_Receita!$S$2:$S$391,"44621A4VerdeNão se aplicaNão se aplicaNão se aplicaNão se aplicaPonta",Mercado_Receita!$L$2:$L$391)</f>
        <v>141.54599999999999</v>
      </c>
      <c r="P8" s="13">
        <f>SUMIF(Mercado_Receita!$S$2:$S$391,"44652A4VerdeNão se aplicaNão se aplicaNão se aplicaNão se aplicaPonta",Mercado_Receita!$L$2:$L$391)</f>
        <v>116.95100000000001</v>
      </c>
      <c r="Q8" s="13">
        <f>SUMIF(Mercado_Receita!$S$2:$S$391,"44682A4VerdeNão se aplicaNão se aplicaNão se aplicaNão se aplicaPonta",Mercado_Receita!$L$2:$L$391)</f>
        <v>139.4</v>
      </c>
      <c r="R8" s="13">
        <f>SUMIF(Mercado_Receita!$S$2:$S$391,"44713A4VerdeNão se aplicaNão se aplicaNão se aplicaNão se aplicaPonta",Mercado_Receita!$L$2:$L$391)</f>
        <v>112.209</v>
      </c>
      <c r="S8" s="13">
        <f>SUMIF(Mercado_Receita!$S$2:$S$391,"44743A4VerdeNão se aplicaNão se aplicaNão se aplicaNão se aplicaPonta",Mercado_Receita!$L$2:$L$391)</f>
        <v>117.35</v>
      </c>
      <c r="T8" s="13">
        <f>SUMIF(Mercado_Receita!$S$2:$S$391,"44774A4VerdeNão se aplicaNão se aplicaNão se aplicaNão se aplicaPonta",Mercado_Receita!$L$2:$L$391)</f>
        <v>117.35</v>
      </c>
      <c r="U8" s="13">
        <f t="shared" si="0"/>
        <v>1557.202</v>
      </c>
      <c r="V8" s="13"/>
      <c r="W8" s="13"/>
    </row>
    <row r="9" spans="1:30" ht="11.25" customHeight="1" x14ac:dyDescent="0.3">
      <c r="A9" s="78"/>
      <c r="B9" s="78"/>
      <c r="C9" s="78"/>
      <c r="D9" s="78"/>
      <c r="E9" s="78"/>
      <c r="F9" s="78"/>
      <c r="G9" s="13" t="s">
        <v>74</v>
      </c>
      <c r="H9" s="13" t="s">
        <v>72</v>
      </c>
      <c r="I9" s="13">
        <f>SUMIF(Mercado_Receita!$S$2:$S$391,"44440A4VerdeNão se aplicaNão se aplicaNão se aplicaNão se aplicaFora ponta",Mercado_Receita!$L$2:$L$391)</f>
        <v>1503.81</v>
      </c>
      <c r="J9" s="13">
        <f>SUMIF(Mercado_Receita!$S$2:$S$391,"44470A4VerdeNão se aplicaNão se aplicaNão se aplicaNão se aplicaFora ponta",Mercado_Receita!$L$2:$L$391)</f>
        <v>1515.471</v>
      </c>
      <c r="K9" s="13">
        <f>SUMIF(Mercado_Receita!$S$2:$S$391,"44501A4VerdeNão se aplicaNão se aplicaNão se aplicaNão se aplicaFora ponta",Mercado_Receita!$L$2:$L$391)</f>
        <v>1552.3679999999999</v>
      </c>
      <c r="L9" s="13">
        <f>SUMIF(Mercado_Receita!$S$2:$S$391,"44531A4VerdeNão se aplicaNão se aplicaNão se aplicaNão se aplicaFora ponta",Mercado_Receita!$L$2:$L$391)</f>
        <v>1623.1560000000002</v>
      </c>
      <c r="M9" s="13">
        <f>SUMIF(Mercado_Receita!$S$2:$S$391,"44562A4VerdeNão se aplicaNão se aplicaNão se aplicaNão se aplicaFora ponta",Mercado_Receita!$L$2:$L$391)</f>
        <v>1740.9970000000001</v>
      </c>
      <c r="N9" s="13">
        <f>SUMIF(Mercado_Receita!$S$2:$S$391,"44593A4VerdeNão se aplicaNão se aplicaNão se aplicaNão se aplicaFora ponta",Mercado_Receita!$L$2:$L$391)</f>
        <v>2004.454</v>
      </c>
      <c r="O9" s="13">
        <f>SUMIF(Mercado_Receita!$S$2:$S$391,"44621A4VerdeNão se aplicaNão se aplicaNão se aplicaNão se aplicaFora ponta",Mercado_Receita!$L$2:$L$391)</f>
        <v>2742.4449999999997</v>
      </c>
      <c r="P9" s="13">
        <f>SUMIF(Mercado_Receita!$S$2:$S$391,"44652A4VerdeNão se aplicaNão se aplicaNão se aplicaNão se aplicaFora ponta",Mercado_Receita!$L$2:$L$391)</f>
        <v>2362.3919999999998</v>
      </c>
      <c r="Q9" s="13">
        <f>SUMIF(Mercado_Receita!$S$2:$S$391,"44682A4VerdeNão se aplicaNão se aplicaNão se aplicaNão se aplicaFora ponta",Mercado_Receita!$L$2:$L$391)</f>
        <v>2291.9360000000001</v>
      </c>
      <c r="R9" s="13">
        <f>SUMIF(Mercado_Receita!$S$2:$S$391,"44713A4VerdeNão se aplicaNão se aplicaNão se aplicaNão se aplicaFora ponta",Mercado_Receita!$L$2:$L$391)</f>
        <v>2063.183</v>
      </c>
      <c r="S9" s="13">
        <f>SUMIF(Mercado_Receita!$S$2:$S$391,"44743A4VerdeNão se aplicaNão se aplicaNão se aplicaNão se aplicaFora ponta",Mercado_Receita!$L$2:$L$391)</f>
        <v>2013.6310000000001</v>
      </c>
      <c r="T9" s="13">
        <f>SUMIF(Mercado_Receita!$S$2:$S$391,"44774A4VerdeNão se aplicaNão se aplicaNão se aplicaNão se aplicaFora ponta",Mercado_Receita!$L$2:$L$391)</f>
        <v>2013.6310000000001</v>
      </c>
      <c r="U9" s="13">
        <f t="shared" si="0"/>
        <v>23427.474000000002</v>
      </c>
      <c r="V9" s="13"/>
      <c r="W9" s="13"/>
    </row>
    <row r="10" spans="1:30" ht="11.25" customHeight="1" x14ac:dyDescent="0.3">
      <c r="A10" s="78"/>
      <c r="B10" s="78"/>
      <c r="C10" s="78"/>
      <c r="D10" s="78"/>
      <c r="E10" s="77" t="s">
        <v>80</v>
      </c>
      <c r="F10" s="77" t="s">
        <v>25</v>
      </c>
      <c r="G10" s="13" t="s">
        <v>73</v>
      </c>
      <c r="H10" s="13" t="s">
        <v>72</v>
      </c>
      <c r="I10" s="13">
        <f>SUMIF(Mercado_Receita!$S$2:$S$391,"44440A4VerdeNão se aplicaNão se aplicaAPENão se aplicaPonta",Mercado_Receita!$L$2:$L$391)</f>
        <v>0</v>
      </c>
      <c r="J10" s="13">
        <f>SUMIF(Mercado_Receita!$S$2:$S$391,"44470A4VerdeNão se aplicaNão se aplicaAPENão se aplicaPonta",Mercado_Receita!$L$2:$L$391)</f>
        <v>0</v>
      </c>
      <c r="K10" s="13">
        <f>SUMIF(Mercado_Receita!$S$2:$S$391,"44501A4VerdeNão se aplicaNão se aplicaAPENão se aplicaPonta",Mercado_Receita!$L$2:$L$391)</f>
        <v>0</v>
      </c>
      <c r="L10" s="13">
        <f>SUMIF(Mercado_Receita!$S$2:$S$391,"44531A4VerdeNão se aplicaNão se aplicaAPENão se aplicaPonta",Mercado_Receita!$L$2:$L$391)</f>
        <v>0</v>
      </c>
      <c r="M10" s="13">
        <f>SUMIF(Mercado_Receita!$S$2:$S$391,"44562A4VerdeNão se aplicaNão se aplicaAPENão se aplicaPonta",Mercado_Receita!$L$2:$L$391)</f>
        <v>0</v>
      </c>
      <c r="N10" s="13">
        <f>SUMIF(Mercado_Receita!$S$2:$S$391,"44593A4VerdeNão se aplicaNão se aplicaAPENão se aplicaPonta",Mercado_Receita!$L$2:$L$391)</f>
        <v>0</v>
      </c>
      <c r="O10" s="13">
        <f>SUMIF(Mercado_Receita!$S$2:$S$391,"44621A4VerdeNão se aplicaNão se aplicaAPENão se aplicaPonta",Mercado_Receita!$L$2:$L$391)</f>
        <v>0</v>
      </c>
      <c r="P10" s="13">
        <f>SUMIF(Mercado_Receita!$S$2:$S$391,"44652A4VerdeNão se aplicaNão se aplicaAPENão se aplicaPonta",Mercado_Receita!$L$2:$L$391)</f>
        <v>0</v>
      </c>
      <c r="Q10" s="13">
        <f>SUMIF(Mercado_Receita!$S$2:$S$391,"44682A4VerdeNão se aplicaNão se aplicaAPENão se aplicaPonta",Mercado_Receita!$L$2:$L$391)</f>
        <v>0</v>
      </c>
      <c r="R10" s="13">
        <f>SUMIF(Mercado_Receita!$S$2:$S$391,"44713A4VerdeNão se aplicaNão se aplicaAPENão se aplicaPonta",Mercado_Receita!$L$2:$L$391)</f>
        <v>0</v>
      </c>
      <c r="S10" s="13">
        <f>SUMIF(Mercado_Receita!$S$2:$S$391,"44743A4VerdeNão se aplicaNão se aplicaAPENão se aplicaPonta",Mercado_Receita!$L$2:$L$391)</f>
        <v>0</v>
      </c>
      <c r="T10" s="13">
        <f>SUMIF(Mercado_Receita!$S$2:$S$391,"44774A4VerdeNão se aplicaNão se aplicaAPENão se aplicaPonta",Mercado_Receita!$L$2:$L$391)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78"/>
      <c r="B11" s="78"/>
      <c r="C11" s="78"/>
      <c r="D11" s="78"/>
      <c r="E11" s="78"/>
      <c r="F11" s="78"/>
      <c r="G11" s="13" t="s">
        <v>74</v>
      </c>
      <c r="H11" s="13" t="s">
        <v>72</v>
      </c>
      <c r="I11" s="13">
        <f>SUMIF(Mercado_Receita!$S$2:$S$391,"44440A4VerdeNão se aplicaNão se aplicaAPENão se aplicaFora ponta",Mercado_Receita!$L$2:$L$391)</f>
        <v>0</v>
      </c>
      <c r="J11" s="13">
        <f>SUMIF(Mercado_Receita!$S$2:$S$391,"44470A4VerdeNão se aplicaNão se aplicaAPENão se aplicaFora ponta",Mercado_Receita!$L$2:$L$391)</f>
        <v>0</v>
      </c>
      <c r="K11" s="13">
        <f>SUMIF(Mercado_Receita!$S$2:$S$391,"44501A4VerdeNão se aplicaNão se aplicaAPENão se aplicaFora ponta",Mercado_Receita!$L$2:$L$391)</f>
        <v>0</v>
      </c>
      <c r="L11" s="13">
        <f>SUMIF(Mercado_Receita!$S$2:$S$391,"44531A4VerdeNão se aplicaNão se aplicaAPENão se aplicaFora ponta",Mercado_Receita!$L$2:$L$391)</f>
        <v>0</v>
      </c>
      <c r="M11" s="13">
        <f>SUMIF(Mercado_Receita!$S$2:$S$391,"44562A4VerdeNão se aplicaNão se aplicaAPENão se aplicaFora ponta",Mercado_Receita!$L$2:$L$391)</f>
        <v>0</v>
      </c>
      <c r="N11" s="13">
        <f>SUMIF(Mercado_Receita!$S$2:$S$391,"44593A4VerdeNão se aplicaNão se aplicaAPENão se aplicaFora ponta",Mercado_Receita!$L$2:$L$391)</f>
        <v>0</v>
      </c>
      <c r="O11" s="13">
        <f>SUMIF(Mercado_Receita!$S$2:$S$391,"44621A4VerdeNão se aplicaNão se aplicaAPENão se aplicaFora ponta",Mercado_Receita!$L$2:$L$391)</f>
        <v>0</v>
      </c>
      <c r="P11" s="13">
        <f>SUMIF(Mercado_Receita!$S$2:$S$391,"44652A4VerdeNão se aplicaNão se aplicaAPENão se aplicaFora ponta",Mercado_Receita!$L$2:$L$391)</f>
        <v>0</v>
      </c>
      <c r="Q11" s="13">
        <f>SUMIF(Mercado_Receita!$S$2:$S$391,"44682A4VerdeNão se aplicaNão se aplicaAPENão se aplicaFora ponta",Mercado_Receita!$L$2:$L$391)</f>
        <v>0</v>
      </c>
      <c r="R11" s="13">
        <f>SUMIF(Mercado_Receita!$S$2:$S$391,"44713A4VerdeNão se aplicaNão se aplicaAPENão se aplicaFora ponta",Mercado_Receita!$L$2:$L$391)</f>
        <v>0</v>
      </c>
      <c r="S11" s="13">
        <f>SUMIF(Mercado_Receita!$S$2:$S$391,"44743A4VerdeNão se aplicaNão se aplicaAPENão se aplicaFora ponta",Mercado_Receita!$L$2:$L$391)</f>
        <v>0</v>
      </c>
      <c r="T11" s="13">
        <f>SUMIF(Mercado_Receita!$S$2:$S$391,"44774A4VerdeNão se aplicaNão se aplicaAPENão se aplicaFora ponta",Mercado_Receita!$L$2:$L$391)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77" t="s">
        <v>82</v>
      </c>
      <c r="B12" s="77" t="s">
        <v>81</v>
      </c>
      <c r="C12" s="77" t="s">
        <v>25</v>
      </c>
      <c r="D12" s="77" t="s">
        <v>25</v>
      </c>
      <c r="E12" s="12" t="s">
        <v>83</v>
      </c>
      <c r="F12" s="12" t="s">
        <v>25</v>
      </c>
      <c r="G12" s="13" t="s">
        <v>9</v>
      </c>
      <c r="H12" s="13" t="s">
        <v>76</v>
      </c>
      <c r="I12" s="13">
        <f>SUMIF(Mercado_Receita!$S$2:$S$391,"44440BGeraçãoNão se aplicaNão se aplicaTIPO 01Não se aplicaNão se aplica",Mercado_Receita!$J$2:$J$391)+SUMIF(Mercado_Receita!$S$2:$S$391,"44440BGeraçãoNão se aplicaNão se aplicaAPENão se aplicaNão se aplica",Mercado_Receita!$J$2:$J$391)</f>
        <v>0</v>
      </c>
      <c r="J12" s="13">
        <f>SUMIF(Mercado_Receita!$S$2:$S$391,"44470BGeraçãoNão se aplicaNão se aplicaTIPO 01Não se aplicaNão se aplica",Mercado_Receita!$J$2:$J$391)+SUMIF(Mercado_Receita!$S$2:$S$391,"44470BGeraçãoNão se aplicaNão se aplicaAPENão se aplicaNão se aplica",Mercado_Receita!$J$2:$J$391)</f>
        <v>0</v>
      </c>
      <c r="K12" s="13">
        <f>SUMIF(Mercado_Receita!$S$2:$S$391,"44501BGeraçãoNão se aplicaNão se aplicaTIPO 01Não se aplicaNão se aplica",Mercado_Receita!$J$2:$J$391)+SUMIF(Mercado_Receita!$S$2:$S$391,"44501BGeraçãoNão se aplicaNão se aplicaAPENão se aplicaNão se aplica",Mercado_Receita!$J$2:$J$391)</f>
        <v>0</v>
      </c>
      <c r="L12" s="13">
        <f>SUMIF(Mercado_Receita!$S$2:$S$391,"44531BGeraçãoNão se aplicaNão se aplicaTIPO 01Não se aplicaNão se aplica",Mercado_Receita!$J$2:$J$391)+SUMIF(Mercado_Receita!$S$2:$S$391,"44531BGeraçãoNão se aplicaNão se aplicaAPENão se aplicaNão se aplica",Mercado_Receita!$J$2:$J$391)</f>
        <v>0</v>
      </c>
      <c r="M12" s="13">
        <f>SUMIF(Mercado_Receita!$S$2:$S$391,"44562BGeraçãoNão se aplicaNão se aplicaTIPO 01Não se aplicaNão se aplica",Mercado_Receita!$J$2:$J$391)+SUMIF(Mercado_Receita!$S$2:$S$391,"44562BGeraçãoNão se aplicaNão se aplicaAPENão se aplicaNão se aplica",Mercado_Receita!$J$2:$J$391)</f>
        <v>0</v>
      </c>
      <c r="N12" s="13">
        <f>SUMIF(Mercado_Receita!$S$2:$S$391,"44593BGeraçãoNão se aplicaNão se aplicaTIPO 01Não se aplicaNão se aplica",Mercado_Receita!$J$2:$J$391)+SUMIF(Mercado_Receita!$S$2:$S$391,"44593BGeraçãoNão se aplicaNão se aplicaAPENão se aplicaNão se aplica",Mercado_Receita!$J$2:$J$391)</f>
        <v>0</v>
      </c>
      <c r="O12" s="13">
        <f>SUMIF(Mercado_Receita!$S$2:$S$391,"44621BGeraçãoNão se aplicaNão se aplicaTIPO 01Não se aplicaNão se aplica",Mercado_Receita!$J$2:$J$391)+SUMIF(Mercado_Receita!$S$2:$S$391,"44621BGeraçãoNão se aplicaNão se aplicaAPENão se aplicaNão se aplica",Mercado_Receita!$J$2:$J$391)</f>
        <v>0</v>
      </c>
      <c r="P12" s="13">
        <f>SUMIF(Mercado_Receita!$S$2:$S$391,"44652BGeraçãoNão se aplicaNão se aplicaTIPO 01Não se aplicaNão se aplica",Mercado_Receita!$J$2:$J$391)+SUMIF(Mercado_Receita!$S$2:$S$391,"44652BGeraçãoNão se aplicaNão se aplicaAPENão se aplicaNão se aplica",Mercado_Receita!$J$2:$J$391)</f>
        <v>0</v>
      </c>
      <c r="Q12" s="13">
        <f>SUMIF(Mercado_Receita!$S$2:$S$391,"44682BGeraçãoNão se aplicaNão se aplicaTIPO 01Não se aplicaNão se aplica",Mercado_Receita!$J$2:$J$391)+SUMIF(Mercado_Receita!$S$2:$S$391,"44682BGeraçãoNão se aplicaNão se aplicaAPENão se aplicaNão se aplica",Mercado_Receita!$J$2:$J$391)</f>
        <v>0</v>
      </c>
      <c r="R12" s="13">
        <f>SUMIF(Mercado_Receita!$S$2:$S$391,"44713BGeraçãoNão se aplicaNão se aplicaTIPO 01Não se aplicaNão se aplica",Mercado_Receita!$J$2:$J$391)+SUMIF(Mercado_Receita!$S$2:$S$391,"44713BGeraçãoNão se aplicaNão se aplicaAPENão se aplicaNão se aplica",Mercado_Receita!$J$2:$J$391)</f>
        <v>0</v>
      </c>
      <c r="S12" s="13">
        <f>SUMIF(Mercado_Receita!$S$2:$S$391,"44743BGeraçãoNão se aplicaNão se aplicaTIPO 01Não se aplicaNão se aplica",Mercado_Receita!$J$2:$J$391)+SUMIF(Mercado_Receita!$S$2:$S$391,"44743BGeraçãoNão se aplicaNão se aplicaAPENão se aplicaNão se aplica",Mercado_Receita!$J$2:$J$391)</f>
        <v>0</v>
      </c>
      <c r="T12" s="13">
        <f>SUMIF(Mercado_Receita!$S$2:$S$391,"44774BGeraçãoNão se aplicaNão se aplicaTIPO 01Não se aplicaNão se aplica",Mercado_Receita!$J$2:$J$391)+SUMIF(Mercado_Receita!$S$2:$S$391,"44774BGeraçãoNão se aplicaNão se aplicaAPENão se aplicaNão se aplica",Mercado_Receita!$J$2:$J$391)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8"/>
      <c r="B13" s="78"/>
      <c r="C13" s="78"/>
      <c r="D13" s="78"/>
      <c r="E13" s="12" t="s">
        <v>84</v>
      </c>
      <c r="F13" s="12" t="s">
        <v>25</v>
      </c>
      <c r="G13" s="13" t="s">
        <v>9</v>
      </c>
      <c r="H13" s="13" t="s">
        <v>76</v>
      </c>
      <c r="I13" s="13">
        <f>SUMIF(Mercado_Receita!$S$2:$S$391,"44440BGeraçãoNão se aplicaNão se aplicaTIPO 02Não se aplicaNão se aplica",Mercado_Receita!$J$2:$J$391)+SUMIF(Mercado_Receita!$S$2:$S$391,"44440BGeraçãoNão se aplicaNão se aplicaAPENão se aplicaNão se aplica",Mercado_Receita!$J$2:$J$391)</f>
        <v>0</v>
      </c>
      <c r="J13" s="13">
        <f>SUMIF(Mercado_Receita!$S$2:$S$391,"44470BGeraçãoNão se aplicaNão se aplicaTIPO 02Não se aplicaNão se aplica",Mercado_Receita!$J$2:$J$391)+SUMIF(Mercado_Receita!$S$2:$S$391,"44470BGeraçãoNão se aplicaNão se aplicaAPENão se aplicaNão se aplica",Mercado_Receita!$J$2:$J$391)</f>
        <v>0</v>
      </c>
      <c r="K13" s="13">
        <f>SUMIF(Mercado_Receita!$S$2:$S$391,"44501BGeraçãoNão se aplicaNão se aplicaTIPO 02Não se aplicaNão se aplica",Mercado_Receita!$J$2:$J$391)+SUMIF(Mercado_Receita!$S$2:$S$391,"44501BGeraçãoNão se aplicaNão se aplicaAPENão se aplicaNão se aplica",Mercado_Receita!$J$2:$J$391)</f>
        <v>0</v>
      </c>
      <c r="L13" s="13">
        <f>SUMIF(Mercado_Receita!$S$2:$S$391,"44531BGeraçãoNão se aplicaNão se aplicaTIPO 02Não se aplicaNão se aplica",Mercado_Receita!$J$2:$J$391)+SUMIF(Mercado_Receita!$S$2:$S$391,"44531BGeraçãoNão se aplicaNão se aplicaAPENão se aplicaNão se aplica",Mercado_Receita!$J$2:$J$391)</f>
        <v>0</v>
      </c>
      <c r="M13" s="13">
        <f>SUMIF(Mercado_Receita!$S$2:$S$391,"44562BGeraçãoNão se aplicaNão se aplicaTIPO 02Não se aplicaNão se aplica",Mercado_Receita!$J$2:$J$391)+SUMIF(Mercado_Receita!$S$2:$S$391,"44562BGeraçãoNão se aplicaNão se aplicaAPENão se aplicaNão se aplica",Mercado_Receita!$J$2:$J$391)</f>
        <v>0</v>
      </c>
      <c r="N13" s="13">
        <f>SUMIF(Mercado_Receita!$S$2:$S$391,"44593BGeraçãoNão se aplicaNão se aplicaTIPO 02Não se aplicaNão se aplica",Mercado_Receita!$J$2:$J$391)+SUMIF(Mercado_Receita!$S$2:$S$391,"44593BGeraçãoNão se aplicaNão se aplicaAPENão se aplicaNão se aplica",Mercado_Receita!$J$2:$J$391)</f>
        <v>0</v>
      </c>
      <c r="O13" s="13">
        <f>SUMIF(Mercado_Receita!$S$2:$S$391,"44621BGeraçãoNão se aplicaNão se aplicaTIPO 02Não se aplicaNão se aplica",Mercado_Receita!$J$2:$J$391)+SUMIF(Mercado_Receita!$S$2:$S$391,"44621BGeraçãoNão se aplicaNão se aplicaAPENão se aplicaNão se aplica",Mercado_Receita!$J$2:$J$391)</f>
        <v>0</v>
      </c>
      <c r="P13" s="13">
        <f>SUMIF(Mercado_Receita!$S$2:$S$391,"44652BGeraçãoNão se aplicaNão se aplicaTIPO 02Não se aplicaNão se aplica",Mercado_Receita!$J$2:$J$391)+SUMIF(Mercado_Receita!$S$2:$S$391,"44652BGeraçãoNão se aplicaNão se aplicaAPENão se aplicaNão se aplica",Mercado_Receita!$J$2:$J$391)</f>
        <v>0</v>
      </c>
      <c r="Q13" s="13">
        <f>SUMIF(Mercado_Receita!$S$2:$S$391,"44682BGeraçãoNão se aplicaNão se aplicaTIPO 02Não se aplicaNão se aplica",Mercado_Receita!$J$2:$J$391)+SUMIF(Mercado_Receita!$S$2:$S$391,"44682BGeraçãoNão se aplicaNão se aplicaAPENão se aplicaNão se aplica",Mercado_Receita!$J$2:$J$391)</f>
        <v>0</v>
      </c>
      <c r="R13" s="13">
        <f>SUMIF(Mercado_Receita!$S$2:$S$391,"44713BGeraçãoNão se aplicaNão se aplicaTIPO 02Não se aplicaNão se aplica",Mercado_Receita!$J$2:$J$391)+SUMIF(Mercado_Receita!$S$2:$S$391,"44713BGeraçãoNão se aplicaNão se aplicaAPENão se aplicaNão se aplica",Mercado_Receita!$J$2:$J$391)</f>
        <v>0</v>
      </c>
      <c r="S13" s="13">
        <f>SUMIF(Mercado_Receita!$S$2:$S$391,"44743BGeraçãoNão se aplicaNão se aplicaTIPO 02Não se aplicaNão se aplica",Mercado_Receita!$J$2:$J$391)+SUMIF(Mercado_Receita!$S$2:$S$391,"44743BGeraçãoNão se aplicaNão se aplicaAPENão se aplicaNão se aplica",Mercado_Receita!$J$2:$J$391)</f>
        <v>0</v>
      </c>
      <c r="T13" s="13">
        <f>SUMIF(Mercado_Receita!$S$2:$S$391,"44774BGeraçãoNão se aplicaNão se aplicaTIPO 02Não se aplicaNão se aplica",Mercado_Receita!$J$2:$J$391)+SUMIF(Mercado_Receita!$S$2:$S$391,"44774BGeraçãoNão se aplicaNão se aplicaAPENão se aplicaNão se aplica",Mercado_Receita!$J$2:$J$391)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7" t="s">
        <v>22</v>
      </c>
      <c r="B14" s="77" t="s">
        <v>40</v>
      </c>
      <c r="C14" s="77" t="s">
        <v>24</v>
      </c>
      <c r="D14" s="77" t="s">
        <v>24</v>
      </c>
      <c r="E14" s="77" t="s">
        <v>25</v>
      </c>
      <c r="F14" s="77" t="s">
        <v>25</v>
      </c>
      <c r="G14" s="13" t="s">
        <v>73</v>
      </c>
      <c r="H14" s="13" t="s">
        <v>72</v>
      </c>
      <c r="I14" s="13">
        <f>SUMIF(Mercado_Receita!$S$2:$S$391,"44440B1BrancaResidencialResidencialNão se aplicaNão se aplicaPonta",Mercado_Receita!$L$2:$L$391)</f>
        <v>0</v>
      </c>
      <c r="J14" s="13">
        <f>SUMIF(Mercado_Receita!$S$2:$S$391,"44470B1BrancaResidencialResidencialNão se aplicaNão se aplicaPonta",Mercado_Receita!$L$2:$L$391)</f>
        <v>0</v>
      </c>
      <c r="K14" s="13">
        <f>SUMIF(Mercado_Receita!$S$2:$S$391,"44501B1BrancaResidencialResidencialNão se aplicaNão se aplicaPonta",Mercado_Receita!$L$2:$L$391)</f>
        <v>0</v>
      </c>
      <c r="L14" s="13">
        <f>SUMIF(Mercado_Receita!$S$2:$S$391,"44531B1BrancaResidencialResidencialNão se aplicaNão se aplicaPonta",Mercado_Receita!$L$2:$L$391)</f>
        <v>0</v>
      </c>
      <c r="M14" s="13">
        <f>SUMIF(Mercado_Receita!$S$2:$S$391,"44562B1BrancaResidencialResidencialNão se aplicaNão se aplicaPonta",Mercado_Receita!$L$2:$L$391)</f>
        <v>0</v>
      </c>
      <c r="N14" s="13">
        <f>SUMIF(Mercado_Receita!$S$2:$S$391,"44593B1BrancaResidencialResidencialNão se aplicaNão se aplicaPonta",Mercado_Receita!$L$2:$L$391)</f>
        <v>0</v>
      </c>
      <c r="O14" s="13">
        <f>SUMIF(Mercado_Receita!$S$2:$S$391,"44621B1BrancaResidencialResidencialNão se aplicaNão se aplicaPonta",Mercado_Receita!$L$2:$L$391)</f>
        <v>0</v>
      </c>
      <c r="P14" s="13">
        <f>SUMIF(Mercado_Receita!$S$2:$S$391,"44652B1BrancaResidencialResidencialNão se aplicaNão se aplicaPonta",Mercado_Receita!$L$2:$L$391)</f>
        <v>0</v>
      </c>
      <c r="Q14" s="13">
        <f>SUMIF(Mercado_Receita!$S$2:$S$391,"44682B1BrancaResidencialResidencialNão se aplicaNão se aplicaPonta",Mercado_Receita!$L$2:$L$391)</f>
        <v>0</v>
      </c>
      <c r="R14" s="13">
        <f>SUMIF(Mercado_Receita!$S$2:$S$391,"44713B1BrancaResidencialResidencialNão se aplicaNão se aplicaPonta",Mercado_Receita!$L$2:$L$391)</f>
        <v>0</v>
      </c>
      <c r="S14" s="13">
        <f>SUMIF(Mercado_Receita!$S$2:$S$391,"44743B1BrancaResidencialResidencialNão se aplicaNão se aplicaPonta",Mercado_Receita!$L$2:$L$391)</f>
        <v>0</v>
      </c>
      <c r="T14" s="13">
        <f>SUMIF(Mercado_Receita!$S$2:$S$391,"44774B1BrancaResidencialResidencialNão se aplicaNão se aplicaPonta",Mercado_Receita!$L$2:$L$391)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8"/>
      <c r="B15" s="78"/>
      <c r="C15" s="78"/>
      <c r="D15" s="78"/>
      <c r="E15" s="78"/>
      <c r="F15" s="78"/>
      <c r="G15" s="13" t="s">
        <v>85</v>
      </c>
      <c r="H15" s="13" t="s">
        <v>72</v>
      </c>
      <c r="I15" s="13">
        <f>SUMIF(Mercado_Receita!$S$2:$S$391,"44440B1BrancaResidencialResidencialNão se aplicaNão se aplicaIntermediário",Mercado_Receita!$L$2:$L$391)</f>
        <v>0</v>
      </c>
      <c r="J15" s="13">
        <f>SUMIF(Mercado_Receita!$S$2:$S$391,"44470B1BrancaResidencialResidencialNão se aplicaNão se aplicaIntermediário",Mercado_Receita!$L$2:$L$391)</f>
        <v>0</v>
      </c>
      <c r="K15" s="13">
        <f>SUMIF(Mercado_Receita!$S$2:$S$391,"44501B1BrancaResidencialResidencialNão se aplicaNão se aplicaIntermediário",Mercado_Receita!$L$2:$L$391)</f>
        <v>0</v>
      </c>
      <c r="L15" s="13">
        <f>SUMIF(Mercado_Receita!$S$2:$S$391,"44531B1BrancaResidencialResidencialNão se aplicaNão se aplicaIntermediário",Mercado_Receita!$L$2:$L$391)</f>
        <v>0</v>
      </c>
      <c r="M15" s="13">
        <f>SUMIF(Mercado_Receita!$S$2:$S$391,"44562B1BrancaResidencialResidencialNão se aplicaNão se aplicaIntermediário",Mercado_Receita!$L$2:$L$391)</f>
        <v>0</v>
      </c>
      <c r="N15" s="13">
        <f>SUMIF(Mercado_Receita!$S$2:$S$391,"44593B1BrancaResidencialResidencialNão se aplicaNão se aplicaIntermediário",Mercado_Receita!$L$2:$L$391)</f>
        <v>0</v>
      </c>
      <c r="O15" s="13">
        <f>SUMIF(Mercado_Receita!$S$2:$S$391,"44621B1BrancaResidencialResidencialNão se aplicaNão se aplicaIntermediário",Mercado_Receita!$L$2:$L$391)</f>
        <v>0</v>
      </c>
      <c r="P15" s="13">
        <f>SUMIF(Mercado_Receita!$S$2:$S$391,"44652B1BrancaResidencialResidencialNão se aplicaNão se aplicaIntermediário",Mercado_Receita!$L$2:$L$391)</f>
        <v>0</v>
      </c>
      <c r="Q15" s="13">
        <f>SUMIF(Mercado_Receita!$S$2:$S$391,"44682B1BrancaResidencialResidencialNão se aplicaNão se aplicaIntermediário",Mercado_Receita!$L$2:$L$391)</f>
        <v>0</v>
      </c>
      <c r="R15" s="13">
        <f>SUMIF(Mercado_Receita!$S$2:$S$391,"44713B1BrancaResidencialResidencialNão se aplicaNão se aplicaIntermediário",Mercado_Receita!$L$2:$L$391)</f>
        <v>0</v>
      </c>
      <c r="S15" s="13">
        <f>SUMIF(Mercado_Receita!$S$2:$S$391,"44743B1BrancaResidencialResidencialNão se aplicaNão se aplicaIntermediário",Mercado_Receita!$L$2:$L$391)</f>
        <v>0</v>
      </c>
      <c r="T15" s="13">
        <f>SUMIF(Mercado_Receita!$S$2:$S$391,"44774B1BrancaResidencialResidencialNão se aplicaNão se aplicaIntermediário",Mercado_Receita!$L$2:$L$391)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8"/>
      <c r="B16" s="78"/>
      <c r="C16" s="78"/>
      <c r="D16" s="78"/>
      <c r="E16" s="78"/>
      <c r="F16" s="78"/>
      <c r="G16" s="13" t="s">
        <v>74</v>
      </c>
      <c r="H16" s="13" t="s">
        <v>72</v>
      </c>
      <c r="I16" s="13">
        <f>SUMIF(Mercado_Receita!$S$2:$S$391,"44440B1BrancaResidencialResidencialNão se aplicaNão se aplicaFora ponta",Mercado_Receita!$L$2:$L$391)</f>
        <v>0</v>
      </c>
      <c r="J16" s="13">
        <f>SUMIF(Mercado_Receita!$S$2:$S$391,"44470B1BrancaResidencialResidencialNão se aplicaNão se aplicaFora ponta",Mercado_Receita!$L$2:$L$391)</f>
        <v>0</v>
      </c>
      <c r="K16" s="13">
        <f>SUMIF(Mercado_Receita!$S$2:$S$391,"44501B1BrancaResidencialResidencialNão se aplicaNão se aplicaFora ponta",Mercado_Receita!$L$2:$L$391)</f>
        <v>0</v>
      </c>
      <c r="L16" s="13">
        <f>SUMIF(Mercado_Receita!$S$2:$S$391,"44531B1BrancaResidencialResidencialNão se aplicaNão se aplicaFora ponta",Mercado_Receita!$L$2:$L$391)</f>
        <v>0</v>
      </c>
      <c r="M16" s="13">
        <f>SUMIF(Mercado_Receita!$S$2:$S$391,"44562B1BrancaResidencialResidencialNão se aplicaNão se aplicaFora ponta",Mercado_Receita!$L$2:$L$391)</f>
        <v>0</v>
      </c>
      <c r="N16" s="13">
        <f>SUMIF(Mercado_Receita!$S$2:$S$391,"44593B1BrancaResidencialResidencialNão se aplicaNão se aplicaFora ponta",Mercado_Receita!$L$2:$L$391)</f>
        <v>0</v>
      </c>
      <c r="O16" s="13">
        <f>SUMIF(Mercado_Receita!$S$2:$S$391,"44621B1BrancaResidencialResidencialNão se aplicaNão se aplicaFora ponta",Mercado_Receita!$L$2:$L$391)</f>
        <v>0</v>
      </c>
      <c r="P16" s="13">
        <f>SUMIF(Mercado_Receita!$S$2:$S$391,"44652B1BrancaResidencialResidencialNão se aplicaNão se aplicaFora ponta",Mercado_Receita!$L$2:$L$391)</f>
        <v>0</v>
      </c>
      <c r="Q16" s="13">
        <f>SUMIF(Mercado_Receita!$S$2:$S$391,"44682B1BrancaResidencialResidencialNão se aplicaNão se aplicaFora ponta",Mercado_Receita!$L$2:$L$391)</f>
        <v>0</v>
      </c>
      <c r="R16" s="13">
        <f>SUMIF(Mercado_Receita!$S$2:$S$391,"44713B1BrancaResidencialResidencialNão se aplicaNão se aplicaFora ponta",Mercado_Receita!$L$2:$L$391)</f>
        <v>0</v>
      </c>
      <c r="S16" s="13">
        <f>SUMIF(Mercado_Receita!$S$2:$S$391,"44743B1BrancaResidencialResidencialNão se aplicaNão se aplicaFora ponta",Mercado_Receita!$L$2:$L$391)</f>
        <v>0</v>
      </c>
      <c r="T16" s="13">
        <f>SUMIF(Mercado_Receita!$S$2:$S$391,"44774B1BrancaResidencialResidencialNão se aplicaNão se aplicaFora ponta",Mercado_Receita!$L$2:$L$391)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8"/>
      <c r="B17" s="77" t="s">
        <v>23</v>
      </c>
      <c r="C17" s="77" t="s">
        <v>24</v>
      </c>
      <c r="D17" s="12" t="s">
        <v>24</v>
      </c>
      <c r="E17" s="12" t="s">
        <v>25</v>
      </c>
      <c r="F17" s="12" t="s">
        <v>25</v>
      </c>
      <c r="G17" s="13" t="s">
        <v>79</v>
      </c>
      <c r="H17" s="13" t="s">
        <v>72</v>
      </c>
      <c r="I17" s="13">
        <f>SUMIF(Mercado_Receita!$S$2:$S$391,"44440B1ConvencionalResidencialResidencialNão se aplicaNão se aplicaPonta",Mercado_Receita!$L$2:$L$391)+SUMIF(Mercado_Receita!$S$2:$S$391,"44440B1ConvencionalResidencialResidencialNão se aplicaNão se aplicaFora ponta",Mercado_Receita!$L$2:$L$391)+SUMIF(Mercado_Receita!$S$2:$S$391,"44440B1ConvencionalResidencialResidencialNão se aplicaNão se aplicaIntermediário",Mercado_Receita!$L$2:$L$391)+SUMIF(Mercado_Receita!$S$2:$S$391,"44440B1ConvencionalResidencialResidencialNão se aplicaNão se aplicaNão se aplica",Mercado_Receita!$L$2:$L$391)</f>
        <v>441.32300000000004</v>
      </c>
      <c r="J17" s="13">
        <f>SUMIF(Mercado_Receita!$S$2:$S$391,"44470B1ConvencionalResidencialResidencialNão se aplicaNão se aplicaPonta",Mercado_Receita!$L$2:$L$391)+SUMIF(Mercado_Receita!$S$2:$S$391,"44470B1ConvencionalResidencialResidencialNão se aplicaNão se aplicaFora ponta",Mercado_Receita!$L$2:$L$391)+SUMIF(Mercado_Receita!$S$2:$S$391,"44470B1ConvencionalResidencialResidencialNão se aplicaNão se aplicaIntermediário",Mercado_Receita!$L$2:$L$391)+SUMIF(Mercado_Receita!$S$2:$S$391,"44470B1ConvencionalResidencialResidencialNão se aplicaNão se aplicaNão se aplica",Mercado_Receita!$L$2:$L$391)</f>
        <v>456.88</v>
      </c>
      <c r="K17" s="13">
        <f>SUMIF(Mercado_Receita!$S$2:$S$391,"44501B1ConvencionalResidencialResidencialNão se aplicaNão se aplicaPonta",Mercado_Receita!$L$2:$L$391)+SUMIF(Mercado_Receita!$S$2:$S$391,"44501B1ConvencionalResidencialResidencialNão se aplicaNão se aplicaFora ponta",Mercado_Receita!$L$2:$L$391)+SUMIF(Mercado_Receita!$S$2:$S$391,"44501B1ConvencionalResidencialResidencialNão se aplicaNão se aplicaIntermediário",Mercado_Receita!$L$2:$L$391)+SUMIF(Mercado_Receita!$S$2:$S$391,"44501B1ConvencionalResidencialResidencialNão se aplicaNão se aplicaNão se aplica",Mercado_Receita!$L$2:$L$391)</f>
        <v>469.99100000000004</v>
      </c>
      <c r="L17" s="13">
        <f>SUMIF(Mercado_Receita!$S$2:$S$391,"44531B1ConvencionalResidencialResidencialNão se aplicaNão se aplicaPonta",Mercado_Receita!$L$2:$L$391)+SUMIF(Mercado_Receita!$S$2:$S$391,"44531B1ConvencionalResidencialResidencialNão se aplicaNão se aplicaFora ponta",Mercado_Receita!$L$2:$L$391)+SUMIF(Mercado_Receita!$S$2:$S$391,"44531B1ConvencionalResidencialResidencialNão se aplicaNão se aplicaIntermediário",Mercado_Receita!$L$2:$L$391)+SUMIF(Mercado_Receita!$S$2:$S$391,"44531B1ConvencionalResidencialResidencialNão se aplicaNão se aplicaNão se aplica",Mercado_Receita!$L$2:$L$391)</f>
        <v>470.88</v>
      </c>
      <c r="M17" s="13">
        <f>SUMIF(Mercado_Receita!$S$2:$S$391,"44562B1ConvencionalResidencialResidencialNão se aplicaNão se aplicaPonta",Mercado_Receita!$L$2:$L$391)+SUMIF(Mercado_Receita!$S$2:$S$391,"44562B1ConvencionalResidencialResidencialNão se aplicaNão se aplicaFora ponta",Mercado_Receita!$L$2:$L$391)+SUMIF(Mercado_Receita!$S$2:$S$391,"44562B1ConvencionalResidencialResidencialNão se aplicaNão se aplicaIntermediário",Mercado_Receita!$L$2:$L$391)+SUMIF(Mercado_Receita!$S$2:$S$391,"44562B1ConvencionalResidencialResidencialNão se aplicaNão se aplicaNão se aplica",Mercado_Receita!$L$2:$L$391)</f>
        <v>522.64</v>
      </c>
      <c r="N17" s="13">
        <f>SUMIF(Mercado_Receita!$S$2:$S$391,"44593B1ConvencionalResidencialResidencialNão se aplicaNão se aplicaPonta",Mercado_Receita!$L$2:$L$391)+SUMIF(Mercado_Receita!$S$2:$S$391,"44593B1ConvencionalResidencialResidencialNão se aplicaNão se aplicaFora ponta",Mercado_Receita!$L$2:$L$391)+SUMIF(Mercado_Receita!$S$2:$S$391,"44593B1ConvencionalResidencialResidencialNão se aplicaNão se aplicaIntermediário",Mercado_Receita!$L$2:$L$391)+SUMIF(Mercado_Receita!$S$2:$S$391,"44593B1ConvencionalResidencialResidencialNão se aplicaNão se aplicaNão se aplica",Mercado_Receita!$L$2:$L$391)</f>
        <v>666.88599999999997</v>
      </c>
      <c r="O17" s="13">
        <f>SUMIF(Mercado_Receita!$S$2:$S$391,"44621B1ConvencionalResidencialResidencialNão se aplicaNão se aplicaPonta",Mercado_Receita!$L$2:$L$391)+SUMIF(Mercado_Receita!$S$2:$S$391,"44621B1ConvencionalResidencialResidencialNão se aplicaNão se aplicaFora ponta",Mercado_Receita!$L$2:$L$391)+SUMIF(Mercado_Receita!$S$2:$S$391,"44621B1ConvencionalResidencialResidencialNão se aplicaNão se aplicaIntermediário",Mercado_Receita!$L$2:$L$391)+SUMIF(Mercado_Receita!$S$2:$S$391,"44621B1ConvencionalResidencialResidencialNão se aplicaNão se aplicaNão se aplica",Mercado_Receita!$L$2:$L$391)</f>
        <v>534.5630000000001</v>
      </c>
      <c r="P17" s="13">
        <f>SUMIF(Mercado_Receita!$S$2:$S$391,"44652B1ConvencionalResidencialResidencialNão se aplicaNão se aplicaPonta",Mercado_Receita!$L$2:$L$391)+SUMIF(Mercado_Receita!$S$2:$S$391,"44652B1ConvencionalResidencialResidencialNão se aplicaNão se aplicaFora ponta",Mercado_Receita!$L$2:$L$391)+SUMIF(Mercado_Receita!$S$2:$S$391,"44652B1ConvencionalResidencialResidencialNão se aplicaNão se aplicaIntermediário",Mercado_Receita!$L$2:$L$391)+SUMIF(Mercado_Receita!$S$2:$S$391,"44652B1ConvencionalResidencialResidencialNão se aplicaNão se aplicaNão se aplica",Mercado_Receita!$L$2:$L$391)</f>
        <v>476.09899999999999</v>
      </c>
      <c r="Q17" s="13">
        <f>SUMIF(Mercado_Receita!$S$2:$S$391,"44682B1ConvencionalResidencialResidencialNão se aplicaNão se aplicaPonta",Mercado_Receita!$L$2:$L$391)+SUMIF(Mercado_Receita!$S$2:$S$391,"44682B1ConvencionalResidencialResidencialNão se aplicaNão se aplicaFora ponta",Mercado_Receita!$L$2:$L$391)+SUMIF(Mercado_Receita!$S$2:$S$391,"44682B1ConvencionalResidencialResidencialNão se aplicaNão se aplicaIntermediário",Mercado_Receita!$L$2:$L$391)+SUMIF(Mercado_Receita!$S$2:$S$391,"44682B1ConvencionalResidencialResidencialNão se aplicaNão se aplicaNão se aplica",Mercado_Receita!$L$2:$L$391)</f>
        <v>423.30599999999998</v>
      </c>
      <c r="R17" s="13">
        <f>SUMIF(Mercado_Receita!$S$2:$S$391,"44713B1ConvencionalResidencialResidencialNão se aplicaNão se aplicaPonta",Mercado_Receita!$L$2:$L$391)+SUMIF(Mercado_Receita!$S$2:$S$391,"44713B1ConvencionalResidencialResidencialNão se aplicaNão se aplicaFora ponta",Mercado_Receita!$L$2:$L$391)+SUMIF(Mercado_Receita!$S$2:$S$391,"44713B1ConvencionalResidencialResidencialNão se aplicaNão se aplicaIntermediário",Mercado_Receita!$L$2:$L$391)+SUMIF(Mercado_Receita!$S$2:$S$391,"44713B1ConvencionalResidencialResidencialNão se aplicaNão se aplicaNão se aplica",Mercado_Receita!$L$2:$L$391)</f>
        <v>479.25900000000001</v>
      </c>
      <c r="S17" s="13">
        <f>SUMIF(Mercado_Receita!$S$2:$S$391,"44743B1ConvencionalResidencialResidencialNão se aplicaNão se aplicaPonta",Mercado_Receita!$L$2:$L$391)+SUMIF(Mercado_Receita!$S$2:$S$391,"44743B1ConvencionalResidencialResidencialNão se aplicaNão se aplicaFora ponta",Mercado_Receita!$L$2:$L$391)+SUMIF(Mercado_Receita!$S$2:$S$391,"44743B1ConvencionalResidencialResidencialNão se aplicaNão se aplicaIntermediário",Mercado_Receita!$L$2:$L$391)+SUMIF(Mercado_Receita!$S$2:$S$391,"44743B1ConvencionalResidencialResidencialNão se aplicaNão se aplicaNão se aplica",Mercado_Receita!$L$2:$L$391)</f>
        <v>486.00299999999999</v>
      </c>
      <c r="T17" s="13">
        <f>SUMIF(Mercado_Receita!$S$2:$S$391,"44774B1ConvencionalResidencialResidencialNão se aplicaNão se aplicaPonta",Mercado_Receita!$L$2:$L$391)+SUMIF(Mercado_Receita!$S$2:$S$391,"44774B1ConvencionalResidencialResidencialNão se aplicaNão se aplicaFora ponta",Mercado_Receita!$L$2:$L$391)+SUMIF(Mercado_Receita!$S$2:$S$391,"44774B1ConvencionalResidencialResidencialNão se aplicaNão se aplicaIntermediário",Mercado_Receita!$L$2:$L$391)+SUMIF(Mercado_Receita!$S$2:$S$391,"44774B1ConvencionalResidencialResidencialNão se aplicaNão se aplicaNão se aplica",Mercado_Receita!$L$2:$L$391)</f>
        <v>486.00299999999999</v>
      </c>
      <c r="U17" s="13">
        <f t="shared" si="0"/>
        <v>5913.8329999999996</v>
      </c>
      <c r="V17" s="13"/>
      <c r="W17" s="13"/>
    </row>
    <row r="18" spans="1:23" ht="11.25" customHeight="1" x14ac:dyDescent="0.3">
      <c r="A18" s="78"/>
      <c r="B18" s="78"/>
      <c r="C18" s="78"/>
      <c r="D18" s="12" t="s">
        <v>29</v>
      </c>
      <c r="E18" s="12" t="s">
        <v>25</v>
      </c>
      <c r="F18" s="12" t="s">
        <v>25</v>
      </c>
      <c r="G18" s="13" t="s">
        <v>79</v>
      </c>
      <c r="H18" s="13" t="s">
        <v>72</v>
      </c>
      <c r="I18" s="13">
        <f>SUMIF(Mercado_Receita!$S$2:$S$391,"44440B1ConvencionalResidencialResidencial baixa renda – faixa 01Não se aplicaNão se aplicaPonta",Mercado_Receita!$L$2:$L$391)+SUMIF(Mercado_Receita!$S$2:$S$391,"44440B1ConvencionalResidencialResidencial baixa renda – faixa 01Não se aplicaNão se aplicaFora ponta",Mercado_Receita!$L$2:$L$391)+SUMIF(Mercado_Receita!$S$2:$S$391,"44440B1ConvencionalResidencialResidencial baixa renda – faixa 01Não se aplicaNão se aplicaIntermediário",Mercado_Receita!$L$2:$L$391)+SUMIF(Mercado_Receita!$S$2:$S$391,"44440B1ConvencionalResidencialResidencial baixa renda – faixa 01Não se aplicaNão se aplicaNão se aplica",Mercado_Receita!$L$2:$L$391)</f>
        <v>4.9800000000000004</v>
      </c>
      <c r="J18" s="13">
        <f>SUMIF(Mercado_Receita!$S$2:$S$391,"44470B1ConvencionalResidencialResidencial baixa renda – faixa 01Não se aplicaNão se aplicaPonta",Mercado_Receita!$L$2:$L$391)+SUMIF(Mercado_Receita!$S$2:$S$391,"44470B1ConvencionalResidencialResidencial baixa renda – faixa 01Não se aplicaNão se aplicaFora ponta",Mercado_Receita!$L$2:$L$391)+SUMIF(Mercado_Receita!$S$2:$S$391,"44470B1ConvencionalResidencialResidencial baixa renda – faixa 01Não se aplicaNão se aplicaIntermediário",Mercado_Receita!$L$2:$L$391)+SUMIF(Mercado_Receita!$S$2:$S$391,"44470B1ConvencionalResidencialResidencial baixa renda – faixa 01Não se aplicaNão se aplicaNão se aplica",Mercado_Receita!$L$2:$L$391)</f>
        <v>5.16</v>
      </c>
      <c r="K18" s="13">
        <f>SUMIF(Mercado_Receita!$S$2:$S$391,"44501B1ConvencionalResidencialResidencial baixa renda – faixa 01Não se aplicaNão se aplicaPonta",Mercado_Receita!$L$2:$L$391)+SUMIF(Mercado_Receita!$S$2:$S$391,"44501B1ConvencionalResidencialResidencial baixa renda – faixa 01Não se aplicaNão se aplicaFora ponta",Mercado_Receita!$L$2:$L$391)+SUMIF(Mercado_Receita!$S$2:$S$391,"44501B1ConvencionalResidencialResidencial baixa renda – faixa 01Não se aplicaNão se aplicaIntermediário",Mercado_Receita!$L$2:$L$391)+SUMIF(Mercado_Receita!$S$2:$S$391,"44501B1ConvencionalResidencialResidencial baixa renda – faixa 01Não se aplicaNão se aplicaNão se aplica",Mercado_Receita!$L$2:$L$391)</f>
        <v>5.34</v>
      </c>
      <c r="L18" s="13">
        <f>SUMIF(Mercado_Receita!$S$2:$S$391,"44531B1ConvencionalResidencialResidencial baixa renda – faixa 01Não se aplicaNão se aplicaPonta",Mercado_Receita!$L$2:$L$391)+SUMIF(Mercado_Receita!$S$2:$S$391,"44531B1ConvencionalResidencialResidencial baixa renda – faixa 01Não se aplicaNão se aplicaFora ponta",Mercado_Receita!$L$2:$L$391)+SUMIF(Mercado_Receita!$S$2:$S$391,"44531B1ConvencionalResidencialResidencial baixa renda – faixa 01Não se aplicaNão se aplicaIntermediário",Mercado_Receita!$L$2:$L$391)+SUMIF(Mercado_Receita!$S$2:$S$391,"44531B1ConvencionalResidencialResidencial baixa renda – faixa 01Não se aplicaNão se aplicaNão se aplica",Mercado_Receita!$L$2:$L$391)</f>
        <v>5.37</v>
      </c>
      <c r="M18" s="13">
        <f>SUMIF(Mercado_Receita!$S$2:$S$391,"44562B1ConvencionalResidencialResidencial baixa renda – faixa 01Não se aplicaNão se aplicaPonta",Mercado_Receita!$L$2:$L$391)+SUMIF(Mercado_Receita!$S$2:$S$391,"44562B1ConvencionalResidencialResidencial baixa renda – faixa 01Não se aplicaNão se aplicaFora ponta",Mercado_Receita!$L$2:$L$391)+SUMIF(Mercado_Receita!$S$2:$S$391,"44562B1ConvencionalResidencialResidencial baixa renda – faixa 01Não se aplicaNão se aplicaIntermediário",Mercado_Receita!$L$2:$L$391)+SUMIF(Mercado_Receita!$S$2:$S$391,"44562B1ConvencionalResidencialResidencial baixa renda – faixa 01Não se aplicaNão se aplicaNão se aplica",Mercado_Receita!$L$2:$L$391)</f>
        <v>5.52</v>
      </c>
      <c r="N18" s="13">
        <f>SUMIF(Mercado_Receita!$S$2:$S$391,"44593B1ConvencionalResidencialResidencial baixa renda – faixa 01Não se aplicaNão se aplicaPonta",Mercado_Receita!$L$2:$L$391)+SUMIF(Mercado_Receita!$S$2:$S$391,"44593B1ConvencionalResidencialResidencial baixa renda – faixa 01Não se aplicaNão se aplicaFora ponta",Mercado_Receita!$L$2:$L$391)+SUMIF(Mercado_Receita!$S$2:$S$391,"44593B1ConvencionalResidencialResidencial baixa renda – faixa 01Não se aplicaNão se aplicaIntermediário",Mercado_Receita!$L$2:$L$391)+SUMIF(Mercado_Receita!$S$2:$S$391,"44593B1ConvencionalResidencialResidencial baixa renda – faixa 01Não se aplicaNão se aplicaNão se aplica",Mercado_Receita!$L$2:$L$391)</f>
        <v>5.76</v>
      </c>
      <c r="O18" s="13">
        <f>SUMIF(Mercado_Receita!$S$2:$S$391,"44621B1ConvencionalResidencialResidencial baixa renda – faixa 01Não se aplicaNão se aplicaPonta",Mercado_Receita!$L$2:$L$391)+SUMIF(Mercado_Receita!$S$2:$S$391,"44621B1ConvencionalResidencialResidencial baixa renda – faixa 01Não se aplicaNão se aplicaFora ponta",Mercado_Receita!$L$2:$L$391)+SUMIF(Mercado_Receita!$S$2:$S$391,"44621B1ConvencionalResidencialResidencial baixa renda – faixa 01Não se aplicaNão se aplicaIntermediário",Mercado_Receita!$L$2:$L$391)+SUMIF(Mercado_Receita!$S$2:$S$391,"44621B1ConvencionalResidencialResidencial baixa renda – faixa 01Não se aplicaNão se aplicaNão se aplica",Mercado_Receita!$L$2:$L$391)</f>
        <v>7.2</v>
      </c>
      <c r="P18" s="13">
        <f>SUMIF(Mercado_Receita!$S$2:$S$391,"44652B1ConvencionalResidencialResidencial baixa renda – faixa 01Não se aplicaNão se aplicaPonta",Mercado_Receita!$L$2:$L$391)+SUMIF(Mercado_Receita!$S$2:$S$391,"44652B1ConvencionalResidencialResidencial baixa renda – faixa 01Não se aplicaNão se aplicaFora ponta",Mercado_Receita!$L$2:$L$391)+SUMIF(Mercado_Receita!$S$2:$S$391,"44652B1ConvencionalResidencialResidencial baixa renda – faixa 01Não se aplicaNão se aplicaIntermediário",Mercado_Receita!$L$2:$L$391)+SUMIF(Mercado_Receita!$S$2:$S$391,"44652B1ConvencionalResidencialResidencial baixa renda – faixa 01Não se aplicaNão se aplicaNão se aplica",Mercado_Receita!$L$2:$L$391)</f>
        <v>7.5</v>
      </c>
      <c r="Q18" s="13">
        <f>SUMIF(Mercado_Receita!$S$2:$S$391,"44682B1ConvencionalResidencialResidencial baixa renda – faixa 01Não se aplicaNão se aplicaPonta",Mercado_Receita!$L$2:$L$391)+SUMIF(Mercado_Receita!$S$2:$S$391,"44682B1ConvencionalResidencialResidencial baixa renda – faixa 01Não se aplicaNão se aplicaFora ponta",Mercado_Receita!$L$2:$L$391)+SUMIF(Mercado_Receita!$S$2:$S$391,"44682B1ConvencionalResidencialResidencial baixa renda – faixa 01Não se aplicaNão se aplicaIntermediário",Mercado_Receita!$L$2:$L$391)+SUMIF(Mercado_Receita!$S$2:$S$391,"44682B1ConvencionalResidencialResidencial baixa renda – faixa 01Não se aplicaNão se aplicaNão se aplica",Mercado_Receita!$L$2:$L$391)</f>
        <v>8.2799999999999994</v>
      </c>
      <c r="R18" s="13">
        <f>SUMIF(Mercado_Receita!$S$2:$S$391,"44713B1ConvencionalResidencialResidencial baixa renda – faixa 01Não se aplicaNão se aplicaPonta",Mercado_Receita!$L$2:$L$391)+SUMIF(Mercado_Receita!$S$2:$S$391,"44713B1ConvencionalResidencialResidencial baixa renda – faixa 01Não se aplicaNão se aplicaFora ponta",Mercado_Receita!$L$2:$L$391)+SUMIF(Mercado_Receita!$S$2:$S$391,"44713B1ConvencionalResidencialResidencial baixa renda – faixa 01Não se aplicaNão se aplicaIntermediário",Mercado_Receita!$L$2:$L$391)+SUMIF(Mercado_Receita!$S$2:$S$391,"44713B1ConvencionalResidencialResidencial baixa renda – faixa 01Não se aplicaNão se aplicaNão se aplica",Mercado_Receita!$L$2:$L$391)</f>
        <v>7.7990000000000004</v>
      </c>
      <c r="S18" s="13">
        <f>SUMIF(Mercado_Receita!$S$2:$S$391,"44743B1ConvencionalResidencialResidencial baixa renda – faixa 01Não se aplicaNão se aplicaPonta",Mercado_Receita!$L$2:$L$391)+SUMIF(Mercado_Receita!$S$2:$S$391,"44743B1ConvencionalResidencialResidencial baixa renda – faixa 01Não se aplicaNão se aplicaFora ponta",Mercado_Receita!$L$2:$L$391)+SUMIF(Mercado_Receita!$S$2:$S$391,"44743B1ConvencionalResidencialResidencial baixa renda – faixa 01Não se aplicaNão se aplicaIntermediário",Mercado_Receita!$L$2:$L$391)+SUMIF(Mercado_Receita!$S$2:$S$391,"44743B1ConvencionalResidencialResidencial baixa renda – faixa 01Não se aplicaNão se aplicaNão se aplica",Mercado_Receita!$L$2:$L$391)</f>
        <v>7.86</v>
      </c>
      <c r="T18" s="13">
        <f>SUMIF(Mercado_Receita!$S$2:$S$391,"44774B1ConvencionalResidencialResidencial baixa renda – faixa 01Não se aplicaNão se aplicaPonta",Mercado_Receita!$L$2:$L$391)+SUMIF(Mercado_Receita!$S$2:$S$391,"44774B1ConvencionalResidencialResidencial baixa renda – faixa 01Não se aplicaNão se aplicaFora ponta",Mercado_Receita!$L$2:$L$391)+SUMIF(Mercado_Receita!$S$2:$S$391,"44774B1ConvencionalResidencialResidencial baixa renda – faixa 01Não se aplicaNão se aplicaIntermediário",Mercado_Receita!$L$2:$L$391)+SUMIF(Mercado_Receita!$S$2:$S$391,"44774B1ConvencionalResidencialResidencial baixa renda – faixa 01Não se aplicaNão se aplicaNão se aplica",Mercado_Receita!$L$2:$L$391)</f>
        <v>7.86</v>
      </c>
      <c r="U18" s="13">
        <f t="shared" si="0"/>
        <v>78.629000000000005</v>
      </c>
      <c r="V18" s="13"/>
      <c r="W18" s="13"/>
    </row>
    <row r="19" spans="1:23" ht="11.25" customHeight="1" x14ac:dyDescent="0.3">
      <c r="A19" s="78"/>
      <c r="B19" s="78"/>
      <c r="C19" s="78"/>
      <c r="D19" s="12" t="s">
        <v>30</v>
      </c>
      <c r="E19" s="12" t="s">
        <v>25</v>
      </c>
      <c r="F19" s="12" t="s">
        <v>25</v>
      </c>
      <c r="G19" s="13" t="s">
        <v>79</v>
      </c>
      <c r="H19" s="13" t="s">
        <v>72</v>
      </c>
      <c r="I19" s="13">
        <f>SUMIF(Mercado_Receita!$S$2:$S$391,"44440B1ConvencionalResidencialResidencial baixa renda – faixa 02Não se aplicaNão se aplicaPonta",Mercado_Receita!$L$2:$L$391)+SUMIF(Mercado_Receita!$S$2:$S$391,"44440B1ConvencionalResidencialResidencial baixa renda – faixa 02Não se aplicaNão se aplicaFora ponta",Mercado_Receita!$L$2:$L$391)+SUMIF(Mercado_Receita!$S$2:$S$391,"44440B1ConvencionalResidencialResidencial baixa renda – faixa 02Não se aplicaNão se aplicaIntermediário",Mercado_Receita!$L$2:$L$391)+SUMIF(Mercado_Receita!$S$2:$S$391,"44440B1ConvencionalResidencialResidencial baixa renda – faixa 02Não se aplicaNão se aplicaNão se aplica",Mercado_Receita!$L$2:$L$391)</f>
        <v>9.9969999999999999</v>
      </c>
      <c r="J19" s="13">
        <f>SUMIF(Mercado_Receita!$S$2:$S$391,"44470B1ConvencionalResidencialResidencial baixa renda – faixa 02Não se aplicaNão se aplicaPonta",Mercado_Receita!$L$2:$L$391)+SUMIF(Mercado_Receita!$S$2:$S$391,"44470B1ConvencionalResidencialResidencial baixa renda – faixa 02Não se aplicaNão se aplicaFora ponta",Mercado_Receita!$L$2:$L$391)+SUMIF(Mercado_Receita!$S$2:$S$391,"44470B1ConvencionalResidencialResidencial baixa renda – faixa 02Não se aplicaNão se aplicaIntermediário",Mercado_Receita!$L$2:$L$391)+SUMIF(Mercado_Receita!$S$2:$S$391,"44470B1ConvencionalResidencialResidencial baixa renda – faixa 02Não se aplicaNão se aplicaNão se aplica",Mercado_Receita!$L$2:$L$391)</f>
        <v>10.64</v>
      </c>
      <c r="K19" s="13">
        <f>SUMIF(Mercado_Receita!$S$2:$S$391,"44501B1ConvencionalResidencialResidencial baixa renda – faixa 02Não se aplicaNão se aplicaPonta",Mercado_Receita!$L$2:$L$391)+SUMIF(Mercado_Receita!$S$2:$S$391,"44501B1ConvencionalResidencialResidencial baixa renda – faixa 02Não se aplicaNão se aplicaFora ponta",Mercado_Receita!$L$2:$L$391)+SUMIF(Mercado_Receita!$S$2:$S$391,"44501B1ConvencionalResidencialResidencial baixa renda – faixa 02Não se aplicaNão se aplicaIntermediário",Mercado_Receita!$L$2:$L$391)+SUMIF(Mercado_Receita!$S$2:$S$391,"44501B1ConvencionalResidencialResidencial baixa renda – faixa 02Não se aplicaNão se aplicaNão se aplica",Mercado_Receita!$L$2:$L$391)</f>
        <v>10.894</v>
      </c>
      <c r="L19" s="13">
        <f>SUMIF(Mercado_Receita!$S$2:$S$391,"44531B1ConvencionalResidencialResidencial baixa renda – faixa 02Não se aplicaNão se aplicaPonta",Mercado_Receita!$L$2:$L$391)+SUMIF(Mercado_Receita!$S$2:$S$391,"44531B1ConvencionalResidencialResidencial baixa renda – faixa 02Não se aplicaNão se aplicaFora ponta",Mercado_Receita!$L$2:$L$391)+SUMIF(Mercado_Receita!$S$2:$S$391,"44531B1ConvencionalResidencialResidencial baixa renda – faixa 02Não se aplicaNão se aplicaIntermediário",Mercado_Receita!$L$2:$L$391)+SUMIF(Mercado_Receita!$S$2:$S$391,"44531B1ConvencionalResidencialResidencial baixa renda – faixa 02Não se aplicaNão se aplicaNão se aplica",Mercado_Receita!$L$2:$L$391)</f>
        <v>11.026</v>
      </c>
      <c r="M19" s="13">
        <f>SUMIF(Mercado_Receita!$S$2:$S$391,"44562B1ConvencionalResidencialResidencial baixa renda – faixa 02Não se aplicaNão se aplicaPonta",Mercado_Receita!$L$2:$L$391)+SUMIF(Mercado_Receita!$S$2:$S$391,"44562B1ConvencionalResidencialResidencial baixa renda – faixa 02Não se aplicaNão se aplicaFora ponta",Mercado_Receita!$L$2:$L$391)+SUMIF(Mercado_Receita!$S$2:$S$391,"44562B1ConvencionalResidencialResidencial baixa renda – faixa 02Não se aplicaNão se aplicaIntermediário",Mercado_Receita!$L$2:$L$391)+SUMIF(Mercado_Receita!$S$2:$S$391,"44562B1ConvencionalResidencialResidencial baixa renda – faixa 02Não se aplicaNão se aplicaNão se aplica",Mercado_Receita!$L$2:$L$391)</f>
        <v>11.669</v>
      </c>
      <c r="N19" s="13">
        <f>SUMIF(Mercado_Receita!$S$2:$S$391,"44593B1ConvencionalResidencialResidencial baixa renda – faixa 02Não se aplicaNão se aplicaPonta",Mercado_Receita!$L$2:$L$391)+SUMIF(Mercado_Receita!$S$2:$S$391,"44593B1ConvencionalResidencialResidencial baixa renda – faixa 02Não se aplicaNão se aplicaFora ponta",Mercado_Receita!$L$2:$L$391)+SUMIF(Mercado_Receita!$S$2:$S$391,"44593B1ConvencionalResidencialResidencial baixa renda – faixa 02Não se aplicaNão se aplicaIntermediário",Mercado_Receita!$L$2:$L$391)+SUMIF(Mercado_Receita!$S$2:$S$391,"44593B1ConvencionalResidencialResidencial baixa renda – faixa 02Não se aplicaNão se aplicaNão se aplica",Mercado_Receita!$L$2:$L$391)</f>
        <v>12.263</v>
      </c>
      <c r="O19" s="13">
        <f>SUMIF(Mercado_Receita!$S$2:$S$391,"44621B1ConvencionalResidencialResidencial baixa renda – faixa 02Não se aplicaNão se aplicaPonta",Mercado_Receita!$L$2:$L$391)+SUMIF(Mercado_Receita!$S$2:$S$391,"44621B1ConvencionalResidencialResidencial baixa renda – faixa 02Não se aplicaNão se aplicaFora ponta",Mercado_Receita!$L$2:$L$391)+SUMIF(Mercado_Receita!$S$2:$S$391,"44621B1ConvencionalResidencialResidencial baixa renda – faixa 02Não se aplicaNão se aplicaIntermediário",Mercado_Receita!$L$2:$L$391)+SUMIF(Mercado_Receita!$S$2:$S$391,"44621B1ConvencionalResidencialResidencial baixa renda – faixa 02Não se aplicaNão se aplicaNão se aplica",Mercado_Receita!$L$2:$L$391)</f>
        <v>14.689</v>
      </c>
      <c r="P19" s="13">
        <f>SUMIF(Mercado_Receita!$S$2:$S$391,"44652B1ConvencionalResidencialResidencial baixa renda – faixa 02Não se aplicaNão se aplicaPonta",Mercado_Receita!$L$2:$L$391)+SUMIF(Mercado_Receita!$S$2:$S$391,"44652B1ConvencionalResidencialResidencial baixa renda – faixa 02Não se aplicaNão se aplicaFora ponta",Mercado_Receita!$L$2:$L$391)+SUMIF(Mercado_Receita!$S$2:$S$391,"44652B1ConvencionalResidencialResidencial baixa renda – faixa 02Não se aplicaNão se aplicaIntermediário",Mercado_Receita!$L$2:$L$391)+SUMIF(Mercado_Receita!$S$2:$S$391,"44652B1ConvencionalResidencialResidencial baixa renda – faixa 02Não se aplicaNão se aplicaNão se aplica",Mercado_Receita!$L$2:$L$391)</f>
        <v>15.435</v>
      </c>
      <c r="Q19" s="13">
        <f>SUMIF(Mercado_Receita!$S$2:$S$391,"44682B1ConvencionalResidencialResidencial baixa renda – faixa 02Não se aplicaNão se aplicaPonta",Mercado_Receita!$L$2:$L$391)+SUMIF(Mercado_Receita!$S$2:$S$391,"44682B1ConvencionalResidencialResidencial baixa renda – faixa 02Não se aplicaNão se aplicaFora ponta",Mercado_Receita!$L$2:$L$391)+SUMIF(Mercado_Receita!$S$2:$S$391,"44682B1ConvencionalResidencialResidencial baixa renda – faixa 02Não se aplicaNão se aplicaIntermediário",Mercado_Receita!$L$2:$L$391)+SUMIF(Mercado_Receita!$S$2:$S$391,"44682B1ConvencionalResidencialResidencial baixa renda – faixa 02Não se aplicaNão se aplicaNão se aplica",Mercado_Receita!$L$2:$L$391)</f>
        <v>16.388000000000002</v>
      </c>
      <c r="R19" s="13">
        <f>SUMIF(Mercado_Receita!$S$2:$S$391,"44713B1ConvencionalResidencialResidencial baixa renda – faixa 02Não se aplicaNão se aplicaPonta",Mercado_Receita!$L$2:$L$391)+SUMIF(Mercado_Receita!$S$2:$S$391,"44713B1ConvencionalResidencialResidencial baixa renda – faixa 02Não se aplicaNão se aplicaFora ponta",Mercado_Receita!$L$2:$L$391)+SUMIF(Mercado_Receita!$S$2:$S$391,"44713B1ConvencionalResidencialResidencial baixa renda – faixa 02Não se aplicaNão se aplicaIntermediário",Mercado_Receita!$L$2:$L$391)+SUMIF(Mercado_Receita!$S$2:$S$391,"44713B1ConvencionalResidencialResidencial baixa renda – faixa 02Não se aplicaNão se aplicaNão se aplica",Mercado_Receita!$L$2:$L$391)</f>
        <v>15.46</v>
      </c>
      <c r="S19" s="13">
        <f>SUMIF(Mercado_Receita!$S$2:$S$391,"44743B1ConvencionalResidencialResidencial baixa renda – faixa 02Não se aplicaNão se aplicaPonta",Mercado_Receita!$L$2:$L$391)+SUMIF(Mercado_Receita!$S$2:$S$391,"44743B1ConvencionalResidencialResidencial baixa renda – faixa 02Não se aplicaNão se aplicaFora ponta",Mercado_Receita!$L$2:$L$391)+SUMIF(Mercado_Receita!$S$2:$S$391,"44743B1ConvencionalResidencialResidencial baixa renda – faixa 02Não se aplicaNão se aplicaIntermediário",Mercado_Receita!$L$2:$L$391)+SUMIF(Mercado_Receita!$S$2:$S$391,"44743B1ConvencionalResidencialResidencial baixa renda – faixa 02Não se aplicaNão se aplicaNão se aplica",Mercado_Receita!$L$2:$L$391)</f>
        <v>15.704000000000001</v>
      </c>
      <c r="T19" s="13">
        <f>SUMIF(Mercado_Receita!$S$2:$S$391,"44774B1ConvencionalResidencialResidencial baixa renda – faixa 02Não se aplicaNão se aplicaPonta",Mercado_Receita!$L$2:$L$391)+SUMIF(Mercado_Receita!$S$2:$S$391,"44774B1ConvencionalResidencialResidencial baixa renda – faixa 02Não se aplicaNão se aplicaFora ponta",Mercado_Receita!$L$2:$L$391)+SUMIF(Mercado_Receita!$S$2:$S$391,"44774B1ConvencionalResidencialResidencial baixa renda – faixa 02Não se aplicaNão se aplicaIntermediário",Mercado_Receita!$L$2:$L$391)+SUMIF(Mercado_Receita!$S$2:$S$391,"44774B1ConvencionalResidencialResidencial baixa renda – faixa 02Não se aplicaNão se aplicaNão se aplica",Mercado_Receita!$L$2:$L$391)</f>
        <v>15.704000000000001</v>
      </c>
      <c r="U19" s="13">
        <f t="shared" si="0"/>
        <v>159.86900000000003</v>
      </c>
      <c r="V19" s="13"/>
      <c r="W19" s="13"/>
    </row>
    <row r="20" spans="1:23" ht="11.25" customHeight="1" x14ac:dyDescent="0.3">
      <c r="A20" s="78"/>
      <c r="B20" s="78"/>
      <c r="C20" s="78"/>
      <c r="D20" s="12" t="s">
        <v>31</v>
      </c>
      <c r="E20" s="12" t="s">
        <v>25</v>
      </c>
      <c r="F20" s="12" t="s">
        <v>25</v>
      </c>
      <c r="G20" s="13" t="s">
        <v>79</v>
      </c>
      <c r="H20" s="13" t="s">
        <v>72</v>
      </c>
      <c r="I20" s="13">
        <f>SUMIF(Mercado_Receita!$S$2:$S$391,"44440B1ConvencionalResidencialResidencial baixa renda – faixa 03Não se aplicaNão se aplicaPonta",Mercado_Receita!$L$2:$L$391)+SUMIF(Mercado_Receita!$S$2:$S$391,"44440B1ConvencionalResidencialResidencial baixa renda – faixa 03Não se aplicaNão se aplicaFora ponta",Mercado_Receita!$L$2:$L$391)+SUMIF(Mercado_Receita!$S$2:$S$391,"44440B1ConvencionalResidencialResidencial baixa renda – faixa 03Não se aplicaNão se aplicaIntermediário",Mercado_Receita!$L$2:$L$391)+SUMIF(Mercado_Receita!$S$2:$S$391,"44440B1ConvencionalResidencialResidencial baixa renda – faixa 03Não se aplicaNão se aplicaNão se aplica",Mercado_Receita!$L$2:$L$391)</f>
        <v>8.4339999999999993</v>
      </c>
      <c r="J20" s="13">
        <f>SUMIF(Mercado_Receita!$S$2:$S$391,"44470B1ConvencionalResidencialResidencial baixa renda – faixa 03Não se aplicaNão se aplicaPonta",Mercado_Receita!$L$2:$L$391)+SUMIF(Mercado_Receita!$S$2:$S$391,"44470B1ConvencionalResidencialResidencial baixa renda – faixa 03Não se aplicaNão se aplicaFora ponta",Mercado_Receita!$L$2:$L$391)+SUMIF(Mercado_Receita!$S$2:$S$391,"44470B1ConvencionalResidencialResidencial baixa renda – faixa 03Não se aplicaNão se aplicaIntermediário",Mercado_Receita!$L$2:$L$391)+SUMIF(Mercado_Receita!$S$2:$S$391,"44470B1ConvencionalResidencialResidencial baixa renda – faixa 03Não se aplicaNão se aplicaNão se aplica",Mercado_Receita!$L$2:$L$391)</f>
        <v>9.8420000000000005</v>
      </c>
      <c r="K20" s="13">
        <f>SUMIF(Mercado_Receita!$S$2:$S$391,"44501B1ConvencionalResidencialResidencial baixa renda – faixa 03Não se aplicaNão se aplicaPonta",Mercado_Receita!$L$2:$L$391)+SUMIF(Mercado_Receita!$S$2:$S$391,"44501B1ConvencionalResidencialResidencial baixa renda – faixa 03Não se aplicaNão se aplicaFora ponta",Mercado_Receita!$L$2:$L$391)+SUMIF(Mercado_Receita!$S$2:$S$391,"44501B1ConvencionalResidencialResidencial baixa renda – faixa 03Não se aplicaNão se aplicaIntermediário",Mercado_Receita!$L$2:$L$391)+SUMIF(Mercado_Receita!$S$2:$S$391,"44501B1ConvencionalResidencialResidencial baixa renda – faixa 03Não se aplicaNão se aplicaNão se aplica",Mercado_Receita!$L$2:$L$391)</f>
        <v>9.7710000000000008</v>
      </c>
      <c r="L20" s="13">
        <f>SUMIF(Mercado_Receita!$S$2:$S$391,"44531B1ConvencionalResidencialResidencial baixa renda – faixa 03Não se aplicaNão se aplicaPonta",Mercado_Receita!$L$2:$L$391)+SUMIF(Mercado_Receita!$S$2:$S$391,"44531B1ConvencionalResidencialResidencial baixa renda – faixa 03Não se aplicaNão se aplicaFora ponta",Mercado_Receita!$L$2:$L$391)+SUMIF(Mercado_Receita!$S$2:$S$391,"44531B1ConvencionalResidencialResidencial baixa renda – faixa 03Não se aplicaNão se aplicaIntermediário",Mercado_Receita!$L$2:$L$391)+SUMIF(Mercado_Receita!$S$2:$S$391,"44531B1ConvencionalResidencialResidencial baixa renda – faixa 03Não se aplicaNão se aplicaNão se aplica",Mercado_Receita!$L$2:$L$391)</f>
        <v>10.201000000000001</v>
      </c>
      <c r="M20" s="13">
        <f>SUMIF(Mercado_Receita!$S$2:$S$391,"44562B1ConvencionalResidencialResidencial baixa renda – faixa 03Não se aplicaNão se aplicaPonta",Mercado_Receita!$L$2:$L$391)+SUMIF(Mercado_Receita!$S$2:$S$391,"44562B1ConvencionalResidencialResidencial baixa renda – faixa 03Não se aplicaNão se aplicaFora ponta",Mercado_Receita!$L$2:$L$391)+SUMIF(Mercado_Receita!$S$2:$S$391,"44562B1ConvencionalResidencialResidencial baixa renda – faixa 03Não se aplicaNão se aplicaIntermediário",Mercado_Receita!$L$2:$L$391)+SUMIF(Mercado_Receita!$S$2:$S$391,"44562B1ConvencionalResidencialResidencial baixa renda – faixa 03Não se aplicaNão se aplicaNão se aplica",Mercado_Receita!$L$2:$L$391)</f>
        <v>11.513999999999999</v>
      </c>
      <c r="N20" s="13">
        <f>SUMIF(Mercado_Receita!$S$2:$S$391,"44593B1ConvencionalResidencialResidencial baixa renda – faixa 03Não se aplicaNão se aplicaPonta",Mercado_Receita!$L$2:$L$391)+SUMIF(Mercado_Receita!$S$2:$S$391,"44593B1ConvencionalResidencialResidencial baixa renda – faixa 03Não se aplicaNão se aplicaFora ponta",Mercado_Receita!$L$2:$L$391)+SUMIF(Mercado_Receita!$S$2:$S$391,"44593B1ConvencionalResidencialResidencial baixa renda – faixa 03Não se aplicaNão se aplicaIntermediário",Mercado_Receita!$L$2:$L$391)+SUMIF(Mercado_Receita!$S$2:$S$391,"44593B1ConvencionalResidencialResidencial baixa renda – faixa 03Não se aplicaNão se aplicaNão se aplica",Mercado_Receita!$L$2:$L$391)</f>
        <v>14.289</v>
      </c>
      <c r="O20" s="13">
        <f>SUMIF(Mercado_Receita!$S$2:$S$391,"44621B1ConvencionalResidencialResidencial baixa renda – faixa 03Não se aplicaNão se aplicaPonta",Mercado_Receita!$L$2:$L$391)+SUMIF(Mercado_Receita!$S$2:$S$391,"44621B1ConvencionalResidencialResidencial baixa renda – faixa 03Não se aplicaNão se aplicaFora ponta",Mercado_Receita!$L$2:$L$391)+SUMIF(Mercado_Receita!$S$2:$S$391,"44621B1ConvencionalResidencialResidencial baixa renda – faixa 03Não se aplicaNão se aplicaIntermediário",Mercado_Receita!$L$2:$L$391)+SUMIF(Mercado_Receita!$S$2:$S$391,"44621B1ConvencionalResidencialResidencial baixa renda – faixa 03Não se aplicaNão se aplicaNão se aplica",Mercado_Receita!$L$2:$L$391)</f>
        <v>14.075000000000001</v>
      </c>
      <c r="P20" s="13">
        <f>SUMIF(Mercado_Receita!$S$2:$S$391,"44652B1ConvencionalResidencialResidencial baixa renda – faixa 03Não se aplicaNão se aplicaPonta",Mercado_Receita!$L$2:$L$391)+SUMIF(Mercado_Receita!$S$2:$S$391,"44652B1ConvencionalResidencialResidencial baixa renda – faixa 03Não se aplicaNão se aplicaFora ponta",Mercado_Receita!$L$2:$L$391)+SUMIF(Mercado_Receita!$S$2:$S$391,"44652B1ConvencionalResidencialResidencial baixa renda – faixa 03Não se aplicaNão se aplicaIntermediário",Mercado_Receita!$L$2:$L$391)+SUMIF(Mercado_Receita!$S$2:$S$391,"44652B1ConvencionalResidencialResidencial baixa renda – faixa 03Não se aplicaNão se aplicaNão se aplica",Mercado_Receita!$L$2:$L$391)</f>
        <v>14.488</v>
      </c>
      <c r="Q20" s="13">
        <f>SUMIF(Mercado_Receita!$S$2:$S$391,"44682B1ConvencionalResidencialResidencial baixa renda – faixa 03Não se aplicaNão se aplicaPonta",Mercado_Receita!$L$2:$L$391)+SUMIF(Mercado_Receita!$S$2:$S$391,"44682B1ConvencionalResidencialResidencial baixa renda – faixa 03Não se aplicaNão se aplicaFora ponta",Mercado_Receita!$L$2:$L$391)+SUMIF(Mercado_Receita!$S$2:$S$391,"44682B1ConvencionalResidencialResidencial baixa renda – faixa 03Não se aplicaNão se aplicaIntermediário",Mercado_Receita!$L$2:$L$391)+SUMIF(Mercado_Receita!$S$2:$S$391,"44682B1ConvencionalResidencialResidencial baixa renda – faixa 03Não se aplicaNão se aplicaNão se aplica",Mercado_Receita!$L$2:$L$391)</f>
        <v>12.88</v>
      </c>
      <c r="R20" s="13">
        <f>SUMIF(Mercado_Receita!$S$2:$S$391,"44713B1ConvencionalResidencialResidencial baixa renda – faixa 03Não se aplicaNão se aplicaPonta",Mercado_Receita!$L$2:$L$391)+SUMIF(Mercado_Receita!$S$2:$S$391,"44713B1ConvencionalResidencialResidencial baixa renda – faixa 03Não se aplicaNão se aplicaFora ponta",Mercado_Receita!$L$2:$L$391)+SUMIF(Mercado_Receita!$S$2:$S$391,"44713B1ConvencionalResidencialResidencial baixa renda – faixa 03Não se aplicaNão se aplicaIntermediário",Mercado_Receita!$L$2:$L$391)+SUMIF(Mercado_Receita!$S$2:$S$391,"44713B1ConvencionalResidencialResidencial baixa renda – faixa 03Não se aplicaNão se aplicaNão se aplica",Mercado_Receita!$L$2:$L$391)</f>
        <v>14.611000000000001</v>
      </c>
      <c r="S20" s="13">
        <f>SUMIF(Mercado_Receita!$S$2:$S$391,"44743B1ConvencionalResidencialResidencial baixa renda – faixa 03Não se aplicaNão se aplicaPonta",Mercado_Receita!$L$2:$L$391)+SUMIF(Mercado_Receita!$S$2:$S$391,"44743B1ConvencionalResidencialResidencial baixa renda – faixa 03Não se aplicaNão se aplicaFora ponta",Mercado_Receita!$L$2:$L$391)+SUMIF(Mercado_Receita!$S$2:$S$391,"44743B1ConvencionalResidencialResidencial baixa renda – faixa 03Não se aplicaNão se aplicaIntermediário",Mercado_Receita!$L$2:$L$391)+SUMIF(Mercado_Receita!$S$2:$S$391,"44743B1ConvencionalResidencialResidencial baixa renda – faixa 03Não se aplicaNão se aplicaNão se aplica",Mercado_Receita!$L$2:$L$391)</f>
        <v>14.917</v>
      </c>
      <c r="T20" s="13">
        <f>SUMIF(Mercado_Receita!$S$2:$S$391,"44774B1ConvencionalResidencialResidencial baixa renda – faixa 03Não se aplicaNão se aplicaPonta",Mercado_Receita!$L$2:$L$391)+SUMIF(Mercado_Receita!$S$2:$S$391,"44774B1ConvencionalResidencialResidencial baixa renda – faixa 03Não se aplicaNão se aplicaFora ponta",Mercado_Receita!$L$2:$L$391)+SUMIF(Mercado_Receita!$S$2:$S$391,"44774B1ConvencionalResidencialResidencial baixa renda – faixa 03Não se aplicaNão se aplicaIntermediário",Mercado_Receita!$L$2:$L$391)+SUMIF(Mercado_Receita!$S$2:$S$391,"44774B1ConvencionalResidencialResidencial baixa renda – faixa 03Não se aplicaNão se aplicaNão se aplica",Mercado_Receita!$L$2:$L$391)</f>
        <v>14.917</v>
      </c>
      <c r="U20" s="13">
        <f t="shared" si="0"/>
        <v>149.93899999999999</v>
      </c>
      <c r="V20" s="13"/>
      <c r="W20" s="13"/>
    </row>
    <row r="21" spans="1:23" ht="11.25" customHeight="1" x14ac:dyDescent="0.3">
      <c r="A21" s="78"/>
      <c r="B21" s="78"/>
      <c r="C21" s="78"/>
      <c r="D21" s="12" t="s">
        <v>32</v>
      </c>
      <c r="E21" s="12" t="s">
        <v>25</v>
      </c>
      <c r="F21" s="12" t="s">
        <v>25</v>
      </c>
      <c r="G21" s="13" t="s">
        <v>79</v>
      </c>
      <c r="H21" s="13" t="s">
        <v>72</v>
      </c>
      <c r="I21" s="13">
        <f>SUMIF(Mercado_Receita!$S$2:$S$391,"44440B1ConvencionalResidencialResidencial baixa renda – faixa 04Não se aplicaNão se aplicaPonta",Mercado_Receita!$L$2:$L$391)+SUMIF(Mercado_Receita!$S$2:$S$391,"44440B1ConvencionalResidencialResidencial baixa renda – faixa 04Não se aplicaNão se aplicaFora ponta",Mercado_Receita!$L$2:$L$391)+SUMIF(Mercado_Receita!$S$2:$S$391,"44440B1ConvencionalResidencialResidencial baixa renda – faixa 04Não se aplicaNão se aplicaIntermediário",Mercado_Receita!$L$2:$L$391)+SUMIF(Mercado_Receita!$S$2:$S$391,"44440B1ConvencionalResidencialResidencial baixa renda – faixa 04Não se aplicaNão se aplicaNão se aplica",Mercado_Receita!$L$2:$L$391)</f>
        <v>1.909</v>
      </c>
      <c r="J21" s="13">
        <f>SUMIF(Mercado_Receita!$S$2:$S$391,"44470B1ConvencionalResidencialResidencial baixa renda – faixa 04Não se aplicaNão se aplicaPonta",Mercado_Receita!$L$2:$L$391)+SUMIF(Mercado_Receita!$S$2:$S$391,"44470B1ConvencionalResidencialResidencial baixa renda – faixa 04Não se aplicaNão se aplicaFora ponta",Mercado_Receita!$L$2:$L$391)+SUMIF(Mercado_Receita!$S$2:$S$391,"44470B1ConvencionalResidencialResidencial baixa renda – faixa 04Não se aplicaNão se aplicaIntermediário",Mercado_Receita!$L$2:$L$391)+SUMIF(Mercado_Receita!$S$2:$S$391,"44470B1ConvencionalResidencialResidencial baixa renda – faixa 04Não se aplicaNão se aplicaNão se aplica",Mercado_Receita!$L$2:$L$391)</f>
        <v>3.2509999999999999</v>
      </c>
      <c r="K21" s="13">
        <f>SUMIF(Mercado_Receita!$S$2:$S$391,"44501B1ConvencionalResidencialResidencial baixa renda – faixa 04Não se aplicaNão se aplicaPonta",Mercado_Receita!$L$2:$L$391)+SUMIF(Mercado_Receita!$S$2:$S$391,"44501B1ConvencionalResidencialResidencial baixa renda – faixa 04Não se aplicaNão se aplicaFora ponta",Mercado_Receita!$L$2:$L$391)+SUMIF(Mercado_Receita!$S$2:$S$391,"44501B1ConvencionalResidencialResidencial baixa renda – faixa 04Não se aplicaNão se aplicaIntermediário",Mercado_Receita!$L$2:$L$391)+SUMIF(Mercado_Receita!$S$2:$S$391,"44501B1ConvencionalResidencialResidencial baixa renda – faixa 04Não se aplicaNão se aplicaNão se aplica",Mercado_Receita!$L$2:$L$391)</f>
        <v>2.9319999999999999</v>
      </c>
      <c r="L21" s="13">
        <f>SUMIF(Mercado_Receita!$S$2:$S$391,"44531B1ConvencionalResidencialResidencial baixa renda – faixa 04Não se aplicaNão se aplicaPonta",Mercado_Receita!$L$2:$L$391)+SUMIF(Mercado_Receita!$S$2:$S$391,"44531B1ConvencionalResidencialResidencial baixa renda – faixa 04Não se aplicaNão se aplicaFora ponta",Mercado_Receita!$L$2:$L$391)+SUMIF(Mercado_Receita!$S$2:$S$391,"44531B1ConvencionalResidencialResidencial baixa renda – faixa 04Não se aplicaNão se aplicaIntermediário",Mercado_Receita!$L$2:$L$391)+SUMIF(Mercado_Receita!$S$2:$S$391,"44531B1ConvencionalResidencialResidencial baixa renda – faixa 04Não se aplicaNão se aplicaNão se aplica",Mercado_Receita!$L$2:$L$391)</f>
        <v>2.6139999999999999</v>
      </c>
      <c r="M21" s="13">
        <f>SUMIF(Mercado_Receita!$S$2:$S$391,"44562B1ConvencionalResidencialResidencial baixa renda – faixa 04Não se aplicaNão se aplicaPonta",Mercado_Receita!$L$2:$L$391)+SUMIF(Mercado_Receita!$S$2:$S$391,"44562B1ConvencionalResidencialResidencial baixa renda – faixa 04Não se aplicaNão se aplicaFora ponta",Mercado_Receita!$L$2:$L$391)+SUMIF(Mercado_Receita!$S$2:$S$391,"44562B1ConvencionalResidencialResidencial baixa renda – faixa 04Não se aplicaNão se aplicaIntermediário",Mercado_Receita!$L$2:$L$391)+SUMIF(Mercado_Receita!$S$2:$S$391,"44562B1ConvencionalResidencialResidencial baixa renda – faixa 04Não se aplicaNão se aplicaNão se aplica",Mercado_Receita!$L$2:$L$391)</f>
        <v>4.2629999999999999</v>
      </c>
      <c r="N21" s="13">
        <f>SUMIF(Mercado_Receita!$S$2:$S$391,"44593B1ConvencionalResidencialResidencial baixa renda – faixa 04Não se aplicaNão se aplicaPonta",Mercado_Receita!$L$2:$L$391)+SUMIF(Mercado_Receita!$S$2:$S$391,"44593B1ConvencionalResidencialResidencial baixa renda – faixa 04Não se aplicaNão se aplicaFora ponta",Mercado_Receita!$L$2:$L$391)+SUMIF(Mercado_Receita!$S$2:$S$391,"44593B1ConvencionalResidencialResidencial baixa renda – faixa 04Não se aplicaNão se aplicaIntermediário",Mercado_Receita!$L$2:$L$391)+SUMIF(Mercado_Receita!$S$2:$S$391,"44593B1ConvencionalResidencialResidencial baixa renda – faixa 04Não se aplicaNão se aplicaNão se aplica",Mercado_Receita!$L$2:$L$391)</f>
        <v>9.2530000000000001</v>
      </c>
      <c r="O21" s="13">
        <f>SUMIF(Mercado_Receita!$S$2:$S$391,"44621B1ConvencionalResidencialResidencial baixa renda – faixa 04Não se aplicaNão se aplicaPonta",Mercado_Receita!$L$2:$L$391)+SUMIF(Mercado_Receita!$S$2:$S$391,"44621B1ConvencionalResidencialResidencial baixa renda – faixa 04Não se aplicaNão se aplicaFora ponta",Mercado_Receita!$L$2:$L$391)+SUMIF(Mercado_Receita!$S$2:$S$391,"44621B1ConvencionalResidencialResidencial baixa renda – faixa 04Não se aplicaNão se aplicaIntermediário",Mercado_Receita!$L$2:$L$391)+SUMIF(Mercado_Receita!$S$2:$S$391,"44621B1ConvencionalResidencialResidencial baixa renda – faixa 04Não se aplicaNão se aplicaNão se aplica",Mercado_Receita!$L$2:$L$391)</f>
        <v>5.5659999999999998</v>
      </c>
      <c r="P21" s="13">
        <f>SUMIF(Mercado_Receita!$S$2:$S$391,"44652B1ConvencionalResidencialResidencial baixa renda – faixa 04Não se aplicaNão se aplicaPonta",Mercado_Receita!$L$2:$L$391)+SUMIF(Mercado_Receita!$S$2:$S$391,"44652B1ConvencionalResidencialResidencial baixa renda – faixa 04Não se aplicaNão se aplicaFora ponta",Mercado_Receita!$L$2:$L$391)+SUMIF(Mercado_Receita!$S$2:$S$391,"44652B1ConvencionalResidencialResidencial baixa renda – faixa 04Não se aplicaNão se aplicaIntermediário",Mercado_Receita!$L$2:$L$391)+SUMIF(Mercado_Receita!$S$2:$S$391,"44652B1ConvencionalResidencialResidencial baixa renda – faixa 04Não se aplicaNão se aplicaNão se aplica",Mercado_Receita!$L$2:$L$391)</f>
        <v>4.3879999999999999</v>
      </c>
      <c r="Q21" s="13">
        <f>SUMIF(Mercado_Receita!$S$2:$S$391,"44682B1ConvencionalResidencialResidencial baixa renda – faixa 04Não se aplicaNão se aplicaPonta",Mercado_Receita!$L$2:$L$391)+SUMIF(Mercado_Receita!$S$2:$S$391,"44682B1ConvencionalResidencialResidencial baixa renda – faixa 04Não se aplicaNão se aplicaFora ponta",Mercado_Receita!$L$2:$L$391)+SUMIF(Mercado_Receita!$S$2:$S$391,"44682B1ConvencionalResidencialResidencial baixa renda – faixa 04Não se aplicaNão se aplicaIntermediário",Mercado_Receita!$L$2:$L$391)+SUMIF(Mercado_Receita!$S$2:$S$391,"44682B1ConvencionalResidencialResidencial baixa renda – faixa 04Não se aplicaNão se aplicaNão se aplica",Mercado_Receita!$L$2:$L$391)</f>
        <v>2.4380000000000002</v>
      </c>
      <c r="R21" s="13">
        <f>SUMIF(Mercado_Receita!$S$2:$S$391,"44713B1ConvencionalResidencialResidencial baixa renda – faixa 04Não se aplicaNão se aplicaPonta",Mercado_Receita!$L$2:$L$391)+SUMIF(Mercado_Receita!$S$2:$S$391,"44713B1ConvencionalResidencialResidencial baixa renda – faixa 04Não se aplicaNão se aplicaFora ponta",Mercado_Receita!$L$2:$L$391)+SUMIF(Mercado_Receita!$S$2:$S$391,"44713B1ConvencionalResidencialResidencial baixa renda – faixa 04Não se aplicaNão se aplicaIntermediário",Mercado_Receita!$L$2:$L$391)+SUMIF(Mercado_Receita!$S$2:$S$391,"44713B1ConvencionalResidencialResidencial baixa renda – faixa 04Não se aplicaNão se aplicaNão se aplica",Mercado_Receita!$L$2:$L$391)</f>
        <v>3.9569999999999999</v>
      </c>
      <c r="S21" s="13">
        <f>SUMIF(Mercado_Receita!$S$2:$S$391,"44743B1ConvencionalResidencialResidencial baixa renda – faixa 04Não se aplicaNão se aplicaPonta",Mercado_Receita!$L$2:$L$391)+SUMIF(Mercado_Receita!$S$2:$S$391,"44743B1ConvencionalResidencialResidencial baixa renda – faixa 04Não se aplicaNão se aplicaFora ponta",Mercado_Receita!$L$2:$L$391)+SUMIF(Mercado_Receita!$S$2:$S$391,"44743B1ConvencionalResidencialResidencial baixa renda – faixa 04Não se aplicaNão se aplicaIntermediário",Mercado_Receita!$L$2:$L$391)+SUMIF(Mercado_Receita!$S$2:$S$391,"44743B1ConvencionalResidencialResidencial baixa renda – faixa 04Não se aplicaNão se aplicaNão se aplica",Mercado_Receita!$L$2:$L$391)</f>
        <v>4.8789999999999996</v>
      </c>
      <c r="T21" s="13">
        <f>SUMIF(Mercado_Receita!$S$2:$S$391,"44774B1ConvencionalResidencialResidencial baixa renda – faixa 04Não se aplicaNão se aplicaPonta",Mercado_Receita!$L$2:$L$391)+SUMIF(Mercado_Receita!$S$2:$S$391,"44774B1ConvencionalResidencialResidencial baixa renda – faixa 04Não se aplicaNão se aplicaFora ponta",Mercado_Receita!$L$2:$L$391)+SUMIF(Mercado_Receita!$S$2:$S$391,"44774B1ConvencionalResidencialResidencial baixa renda – faixa 04Não se aplicaNão se aplicaIntermediário",Mercado_Receita!$L$2:$L$391)+SUMIF(Mercado_Receita!$S$2:$S$391,"44774B1ConvencionalResidencialResidencial baixa renda – faixa 04Não se aplicaNão se aplicaNão se aplica",Mercado_Receita!$L$2:$L$391)</f>
        <v>4.8789999999999996</v>
      </c>
      <c r="U21" s="13">
        <f t="shared" si="0"/>
        <v>50.329000000000001</v>
      </c>
      <c r="V21" s="13"/>
      <c r="W21" s="13"/>
    </row>
    <row r="22" spans="1:23" ht="11.25" customHeight="1" x14ac:dyDescent="0.3">
      <c r="A22" s="78"/>
      <c r="B22" s="77" t="s">
        <v>88</v>
      </c>
      <c r="C22" s="77" t="s">
        <v>24</v>
      </c>
      <c r="D22" s="12" t="s">
        <v>24</v>
      </c>
      <c r="E22" s="12" t="s">
        <v>25</v>
      </c>
      <c r="F22" s="12" t="s">
        <v>25</v>
      </c>
      <c r="G22" s="13" t="s">
        <v>79</v>
      </c>
      <c r="H22" s="13" t="s">
        <v>72</v>
      </c>
      <c r="I22" s="13">
        <f>SUMIF(Mercado_Receita!$S$2:$S$391,"44440B1Convencional pré-pagamentoResidencialResidencialNão se aplicaNão se aplicaPonta",Mercado_Receita!$L$2:$L$391)+SUMIF(Mercado_Receita!$S$2:$S$391,"44440B1Convencional pré-pagamentoResidencialResidencialNão se aplicaNão se aplicaFora ponta",Mercado_Receita!$L$2:$L$391)+SUMIF(Mercado_Receita!$S$2:$S$391,"44440B1Convencional pré-pagamentoResidencialResidencialNão se aplicaNão se aplicaIntermediário",Mercado_Receita!$L$2:$L$391)+SUMIF(Mercado_Receita!$S$2:$S$391,"44440B1Convencional pré-pagamentoResidencialResidencialNão se aplicaNão se aplicaNão se aplica",Mercado_Receita!$L$2:$L$391)</f>
        <v>0</v>
      </c>
      <c r="J22" s="13">
        <f>SUMIF(Mercado_Receita!$S$2:$S$391,"44470B1Convencional pré-pagamentoResidencialResidencialNão se aplicaNão se aplicaPonta",Mercado_Receita!$L$2:$L$391)+SUMIF(Mercado_Receita!$S$2:$S$391,"44470B1Convencional pré-pagamentoResidencialResidencialNão se aplicaNão se aplicaFora ponta",Mercado_Receita!$L$2:$L$391)+SUMIF(Mercado_Receita!$S$2:$S$391,"44470B1Convencional pré-pagamentoResidencialResidencialNão se aplicaNão se aplicaIntermediário",Mercado_Receita!$L$2:$L$391)+SUMIF(Mercado_Receita!$S$2:$S$391,"44470B1Convencional pré-pagamentoResidencialResidencialNão se aplicaNão se aplicaNão se aplica",Mercado_Receita!$L$2:$L$391)</f>
        <v>0</v>
      </c>
      <c r="K22" s="13">
        <f>SUMIF(Mercado_Receita!$S$2:$S$391,"44501B1Convencional pré-pagamentoResidencialResidencialNão se aplicaNão se aplicaPonta",Mercado_Receita!$L$2:$L$391)+SUMIF(Mercado_Receita!$S$2:$S$391,"44501B1Convencional pré-pagamentoResidencialResidencialNão se aplicaNão se aplicaFora ponta",Mercado_Receita!$L$2:$L$391)+SUMIF(Mercado_Receita!$S$2:$S$391,"44501B1Convencional pré-pagamentoResidencialResidencialNão se aplicaNão se aplicaIntermediário",Mercado_Receita!$L$2:$L$391)+SUMIF(Mercado_Receita!$S$2:$S$391,"44501B1Convencional pré-pagamentoResidencialResidencialNão se aplicaNão se aplicaNão se aplica",Mercado_Receita!$L$2:$L$391)</f>
        <v>0</v>
      </c>
      <c r="L22" s="13">
        <f>SUMIF(Mercado_Receita!$S$2:$S$391,"44531B1Convencional pré-pagamentoResidencialResidencialNão se aplicaNão se aplicaPonta",Mercado_Receita!$L$2:$L$391)+SUMIF(Mercado_Receita!$S$2:$S$391,"44531B1Convencional pré-pagamentoResidencialResidencialNão se aplicaNão se aplicaFora ponta",Mercado_Receita!$L$2:$L$391)+SUMIF(Mercado_Receita!$S$2:$S$391,"44531B1Convencional pré-pagamentoResidencialResidencialNão se aplicaNão se aplicaIntermediário",Mercado_Receita!$L$2:$L$391)+SUMIF(Mercado_Receita!$S$2:$S$391,"44531B1Convencional pré-pagamentoResidencialResidencialNão se aplicaNão se aplicaNão se aplica",Mercado_Receita!$L$2:$L$391)</f>
        <v>0</v>
      </c>
      <c r="M22" s="13">
        <f>SUMIF(Mercado_Receita!$S$2:$S$391,"44562B1Convencional pré-pagamentoResidencialResidencialNão se aplicaNão se aplicaPonta",Mercado_Receita!$L$2:$L$391)+SUMIF(Mercado_Receita!$S$2:$S$391,"44562B1Convencional pré-pagamentoResidencialResidencialNão se aplicaNão se aplicaFora ponta",Mercado_Receita!$L$2:$L$391)+SUMIF(Mercado_Receita!$S$2:$S$391,"44562B1Convencional pré-pagamentoResidencialResidencialNão se aplicaNão se aplicaIntermediário",Mercado_Receita!$L$2:$L$391)+SUMIF(Mercado_Receita!$S$2:$S$391,"44562B1Convencional pré-pagamentoResidencialResidencialNão se aplicaNão se aplicaNão se aplica",Mercado_Receita!$L$2:$L$391)</f>
        <v>0</v>
      </c>
      <c r="N22" s="13">
        <f>SUMIF(Mercado_Receita!$S$2:$S$391,"44593B1Convencional pré-pagamentoResidencialResidencialNão se aplicaNão se aplicaPonta",Mercado_Receita!$L$2:$L$391)+SUMIF(Mercado_Receita!$S$2:$S$391,"44593B1Convencional pré-pagamentoResidencialResidencialNão se aplicaNão se aplicaFora ponta",Mercado_Receita!$L$2:$L$391)+SUMIF(Mercado_Receita!$S$2:$S$391,"44593B1Convencional pré-pagamentoResidencialResidencialNão se aplicaNão se aplicaIntermediário",Mercado_Receita!$L$2:$L$391)+SUMIF(Mercado_Receita!$S$2:$S$391,"44593B1Convencional pré-pagamentoResidencialResidencialNão se aplicaNão se aplicaNão se aplica",Mercado_Receita!$L$2:$L$391)</f>
        <v>0</v>
      </c>
      <c r="O22" s="13">
        <f>SUMIF(Mercado_Receita!$S$2:$S$391,"44621B1Convencional pré-pagamentoResidencialResidencialNão se aplicaNão se aplicaPonta",Mercado_Receita!$L$2:$L$391)+SUMIF(Mercado_Receita!$S$2:$S$391,"44621B1Convencional pré-pagamentoResidencialResidencialNão se aplicaNão se aplicaFora ponta",Mercado_Receita!$L$2:$L$391)+SUMIF(Mercado_Receita!$S$2:$S$391,"44621B1Convencional pré-pagamentoResidencialResidencialNão se aplicaNão se aplicaIntermediário",Mercado_Receita!$L$2:$L$391)+SUMIF(Mercado_Receita!$S$2:$S$391,"44621B1Convencional pré-pagamentoResidencialResidencialNão se aplicaNão se aplicaNão se aplica",Mercado_Receita!$L$2:$L$391)</f>
        <v>0</v>
      </c>
      <c r="P22" s="13">
        <f>SUMIF(Mercado_Receita!$S$2:$S$391,"44652B1Convencional pré-pagamentoResidencialResidencialNão se aplicaNão se aplicaPonta",Mercado_Receita!$L$2:$L$391)+SUMIF(Mercado_Receita!$S$2:$S$391,"44652B1Convencional pré-pagamentoResidencialResidencialNão se aplicaNão se aplicaFora ponta",Mercado_Receita!$L$2:$L$391)+SUMIF(Mercado_Receita!$S$2:$S$391,"44652B1Convencional pré-pagamentoResidencialResidencialNão se aplicaNão se aplicaIntermediário",Mercado_Receita!$L$2:$L$391)+SUMIF(Mercado_Receita!$S$2:$S$391,"44652B1Convencional pré-pagamentoResidencialResidencialNão se aplicaNão se aplicaNão se aplica",Mercado_Receita!$L$2:$L$391)</f>
        <v>0</v>
      </c>
      <c r="Q22" s="13">
        <f>SUMIF(Mercado_Receita!$S$2:$S$391,"44682B1Convencional pré-pagamentoResidencialResidencialNão se aplicaNão se aplicaPonta",Mercado_Receita!$L$2:$L$391)+SUMIF(Mercado_Receita!$S$2:$S$391,"44682B1Convencional pré-pagamentoResidencialResidencialNão se aplicaNão se aplicaFora ponta",Mercado_Receita!$L$2:$L$391)+SUMIF(Mercado_Receita!$S$2:$S$391,"44682B1Convencional pré-pagamentoResidencialResidencialNão se aplicaNão se aplicaIntermediário",Mercado_Receita!$L$2:$L$391)+SUMIF(Mercado_Receita!$S$2:$S$391,"44682B1Convencional pré-pagamentoResidencialResidencialNão se aplicaNão se aplicaNão se aplica",Mercado_Receita!$L$2:$L$391)</f>
        <v>0</v>
      </c>
      <c r="R22" s="13">
        <f>SUMIF(Mercado_Receita!$S$2:$S$391,"44713B1Convencional pré-pagamentoResidencialResidencialNão se aplicaNão se aplicaPonta",Mercado_Receita!$L$2:$L$391)+SUMIF(Mercado_Receita!$S$2:$S$391,"44713B1Convencional pré-pagamentoResidencialResidencialNão se aplicaNão se aplicaFora ponta",Mercado_Receita!$L$2:$L$391)+SUMIF(Mercado_Receita!$S$2:$S$391,"44713B1Convencional pré-pagamentoResidencialResidencialNão se aplicaNão se aplicaIntermediário",Mercado_Receita!$L$2:$L$391)+SUMIF(Mercado_Receita!$S$2:$S$391,"44713B1Convencional pré-pagamentoResidencialResidencialNão se aplicaNão se aplicaNão se aplica",Mercado_Receita!$L$2:$L$391)</f>
        <v>0</v>
      </c>
      <c r="S22" s="13">
        <f>SUMIF(Mercado_Receita!$S$2:$S$391,"44743B1Convencional pré-pagamentoResidencialResidencialNão se aplicaNão se aplicaPonta",Mercado_Receita!$L$2:$L$391)+SUMIF(Mercado_Receita!$S$2:$S$391,"44743B1Convencional pré-pagamentoResidencialResidencialNão se aplicaNão se aplicaFora ponta",Mercado_Receita!$L$2:$L$391)+SUMIF(Mercado_Receita!$S$2:$S$391,"44743B1Convencional pré-pagamentoResidencialResidencialNão se aplicaNão se aplicaIntermediário",Mercado_Receita!$L$2:$L$391)+SUMIF(Mercado_Receita!$S$2:$S$391,"44743B1Convencional pré-pagamentoResidencialResidencialNão se aplicaNão se aplicaNão se aplica",Mercado_Receita!$L$2:$L$391)</f>
        <v>0</v>
      </c>
      <c r="T22" s="13">
        <f>SUMIF(Mercado_Receita!$S$2:$S$391,"44774B1Convencional pré-pagamentoResidencialResidencialNão se aplicaNão se aplicaPonta",Mercado_Receita!$L$2:$L$391)+SUMIF(Mercado_Receita!$S$2:$S$391,"44774B1Convencional pré-pagamentoResidencialResidencialNão se aplicaNão se aplicaFora ponta",Mercado_Receita!$L$2:$L$391)+SUMIF(Mercado_Receita!$S$2:$S$391,"44774B1Convencional pré-pagamentoResidencialResidencialNão se aplicaNão se aplicaIntermediário",Mercado_Receita!$L$2:$L$391)+SUMIF(Mercado_Receita!$S$2:$S$391,"44774B1Convencional pré-pagamentoResidencialResidencialNão se aplicaNão se aplicaNão se aplica",Mercado_Receita!$L$2:$L$391)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8"/>
      <c r="B23" s="78"/>
      <c r="C23" s="78"/>
      <c r="D23" s="12" t="s">
        <v>29</v>
      </c>
      <c r="E23" s="12" t="s">
        <v>25</v>
      </c>
      <c r="F23" s="12" t="s">
        <v>25</v>
      </c>
      <c r="G23" s="13" t="s">
        <v>79</v>
      </c>
      <c r="H23" s="13" t="s">
        <v>72</v>
      </c>
      <c r="I23" s="13">
        <f>SUMIF(Mercado_Receita!$S$2:$S$391,"44440B1Convencional pré-pagamentoResidencialResidencial baixa renda – faixa 01Não se aplicaNão se aplicaPonta",Mercado_Receita!$L$2:$L$391)+SUMIF(Mercado_Receita!$S$2:$S$391,"44440B1Convencional pré-pagamentoResidencialResidencial baixa renda – faixa 01Não se aplicaNão se aplicaFora ponta",Mercado_Receita!$L$2:$L$391)+SUMIF(Mercado_Receita!$S$2:$S$391,"44440B1Convencional pré-pagamentoResidencialResidencial baixa renda – faixa 01Não se aplicaNão se aplicaIntermediário",Mercado_Receita!$L$2:$L$391)+SUMIF(Mercado_Receita!$S$2:$S$391,"44440B1Convencional pré-pagamentoResidencialResidencial baixa renda – faixa 01Não se aplicaNão se aplicaNão se aplica",Mercado_Receita!$L$2:$L$391)</f>
        <v>0</v>
      </c>
      <c r="J23" s="13">
        <f>SUMIF(Mercado_Receita!$S$2:$S$391,"44470B1Convencional pré-pagamentoResidencialResidencial baixa renda – faixa 01Não se aplicaNão se aplicaPonta",Mercado_Receita!$L$2:$L$391)+SUMIF(Mercado_Receita!$S$2:$S$391,"44470B1Convencional pré-pagamentoResidencialResidencial baixa renda – faixa 01Não se aplicaNão se aplicaFora ponta",Mercado_Receita!$L$2:$L$391)+SUMIF(Mercado_Receita!$S$2:$S$391,"44470B1Convencional pré-pagamentoResidencialResidencial baixa renda – faixa 01Não se aplicaNão se aplicaIntermediário",Mercado_Receita!$L$2:$L$391)+SUMIF(Mercado_Receita!$S$2:$S$391,"44470B1Convencional pré-pagamentoResidencialResidencial baixa renda – faixa 01Não se aplicaNão se aplicaNão se aplica",Mercado_Receita!$L$2:$L$391)</f>
        <v>0</v>
      </c>
      <c r="K23" s="13">
        <f>SUMIF(Mercado_Receita!$S$2:$S$391,"44501B1Convencional pré-pagamentoResidencialResidencial baixa renda – faixa 01Não se aplicaNão se aplicaPonta",Mercado_Receita!$L$2:$L$391)+SUMIF(Mercado_Receita!$S$2:$S$391,"44501B1Convencional pré-pagamentoResidencialResidencial baixa renda – faixa 01Não se aplicaNão se aplicaFora ponta",Mercado_Receita!$L$2:$L$391)+SUMIF(Mercado_Receita!$S$2:$S$391,"44501B1Convencional pré-pagamentoResidencialResidencial baixa renda – faixa 01Não se aplicaNão se aplicaIntermediário",Mercado_Receita!$L$2:$L$391)+SUMIF(Mercado_Receita!$S$2:$S$391,"44501B1Convencional pré-pagamentoResidencialResidencial baixa renda – faixa 01Não se aplicaNão se aplicaNão se aplica",Mercado_Receita!$L$2:$L$391)</f>
        <v>0</v>
      </c>
      <c r="L23" s="13">
        <f>SUMIF(Mercado_Receita!$S$2:$S$391,"44531B1Convencional pré-pagamentoResidencialResidencial baixa renda – faixa 01Não se aplicaNão se aplicaPonta",Mercado_Receita!$L$2:$L$391)+SUMIF(Mercado_Receita!$S$2:$S$391,"44531B1Convencional pré-pagamentoResidencialResidencial baixa renda – faixa 01Não se aplicaNão se aplicaFora ponta",Mercado_Receita!$L$2:$L$391)+SUMIF(Mercado_Receita!$S$2:$S$391,"44531B1Convencional pré-pagamentoResidencialResidencial baixa renda – faixa 01Não se aplicaNão se aplicaIntermediário",Mercado_Receita!$L$2:$L$391)+SUMIF(Mercado_Receita!$S$2:$S$391,"44531B1Convencional pré-pagamentoResidencialResidencial baixa renda – faixa 01Não se aplicaNão se aplicaNão se aplica",Mercado_Receita!$L$2:$L$391)</f>
        <v>0</v>
      </c>
      <c r="M23" s="13">
        <f>SUMIF(Mercado_Receita!$S$2:$S$391,"44562B1Convencional pré-pagamentoResidencialResidencial baixa renda – faixa 01Não se aplicaNão se aplicaPonta",Mercado_Receita!$L$2:$L$391)+SUMIF(Mercado_Receita!$S$2:$S$391,"44562B1Convencional pré-pagamentoResidencialResidencial baixa renda – faixa 01Não se aplicaNão se aplicaFora ponta",Mercado_Receita!$L$2:$L$391)+SUMIF(Mercado_Receita!$S$2:$S$391,"44562B1Convencional pré-pagamentoResidencialResidencial baixa renda – faixa 01Não se aplicaNão se aplicaIntermediário",Mercado_Receita!$L$2:$L$391)+SUMIF(Mercado_Receita!$S$2:$S$391,"44562B1Convencional pré-pagamentoResidencialResidencial baixa renda – faixa 01Não se aplicaNão se aplicaNão se aplica",Mercado_Receita!$L$2:$L$391)</f>
        <v>0</v>
      </c>
      <c r="N23" s="13">
        <f>SUMIF(Mercado_Receita!$S$2:$S$391,"44593B1Convencional pré-pagamentoResidencialResidencial baixa renda – faixa 01Não se aplicaNão se aplicaPonta",Mercado_Receita!$L$2:$L$391)+SUMIF(Mercado_Receita!$S$2:$S$391,"44593B1Convencional pré-pagamentoResidencialResidencial baixa renda – faixa 01Não se aplicaNão se aplicaFora ponta",Mercado_Receita!$L$2:$L$391)+SUMIF(Mercado_Receita!$S$2:$S$391,"44593B1Convencional pré-pagamentoResidencialResidencial baixa renda – faixa 01Não se aplicaNão se aplicaIntermediário",Mercado_Receita!$L$2:$L$391)+SUMIF(Mercado_Receita!$S$2:$S$391,"44593B1Convencional pré-pagamentoResidencialResidencial baixa renda – faixa 01Não se aplicaNão se aplicaNão se aplica",Mercado_Receita!$L$2:$L$391)</f>
        <v>0</v>
      </c>
      <c r="O23" s="13">
        <f>SUMIF(Mercado_Receita!$S$2:$S$391,"44621B1Convencional pré-pagamentoResidencialResidencial baixa renda – faixa 01Não se aplicaNão se aplicaPonta",Mercado_Receita!$L$2:$L$391)+SUMIF(Mercado_Receita!$S$2:$S$391,"44621B1Convencional pré-pagamentoResidencialResidencial baixa renda – faixa 01Não se aplicaNão se aplicaFora ponta",Mercado_Receita!$L$2:$L$391)+SUMIF(Mercado_Receita!$S$2:$S$391,"44621B1Convencional pré-pagamentoResidencialResidencial baixa renda – faixa 01Não se aplicaNão se aplicaIntermediário",Mercado_Receita!$L$2:$L$391)+SUMIF(Mercado_Receita!$S$2:$S$391,"44621B1Convencional pré-pagamentoResidencialResidencial baixa renda – faixa 01Não se aplicaNão se aplicaNão se aplica",Mercado_Receita!$L$2:$L$391)</f>
        <v>0</v>
      </c>
      <c r="P23" s="13">
        <f>SUMIF(Mercado_Receita!$S$2:$S$391,"44652B1Convencional pré-pagamentoResidencialResidencial baixa renda – faixa 01Não se aplicaNão se aplicaPonta",Mercado_Receita!$L$2:$L$391)+SUMIF(Mercado_Receita!$S$2:$S$391,"44652B1Convencional pré-pagamentoResidencialResidencial baixa renda – faixa 01Não se aplicaNão se aplicaFora ponta",Mercado_Receita!$L$2:$L$391)+SUMIF(Mercado_Receita!$S$2:$S$391,"44652B1Convencional pré-pagamentoResidencialResidencial baixa renda – faixa 01Não se aplicaNão se aplicaIntermediário",Mercado_Receita!$L$2:$L$391)+SUMIF(Mercado_Receita!$S$2:$S$391,"44652B1Convencional pré-pagamentoResidencialResidencial baixa renda – faixa 01Não se aplicaNão se aplicaNão se aplica",Mercado_Receita!$L$2:$L$391)</f>
        <v>0</v>
      </c>
      <c r="Q23" s="13">
        <f>SUMIF(Mercado_Receita!$S$2:$S$391,"44682B1Convencional pré-pagamentoResidencialResidencial baixa renda – faixa 01Não se aplicaNão se aplicaPonta",Mercado_Receita!$L$2:$L$391)+SUMIF(Mercado_Receita!$S$2:$S$391,"44682B1Convencional pré-pagamentoResidencialResidencial baixa renda – faixa 01Não se aplicaNão se aplicaFora ponta",Mercado_Receita!$L$2:$L$391)+SUMIF(Mercado_Receita!$S$2:$S$391,"44682B1Convencional pré-pagamentoResidencialResidencial baixa renda – faixa 01Não se aplicaNão se aplicaIntermediário",Mercado_Receita!$L$2:$L$391)+SUMIF(Mercado_Receita!$S$2:$S$391,"44682B1Convencional pré-pagamentoResidencialResidencial baixa renda – faixa 01Não se aplicaNão se aplicaNão se aplica",Mercado_Receita!$L$2:$L$391)</f>
        <v>0</v>
      </c>
      <c r="R23" s="13">
        <f>SUMIF(Mercado_Receita!$S$2:$S$391,"44713B1Convencional pré-pagamentoResidencialResidencial baixa renda – faixa 01Não se aplicaNão se aplicaPonta",Mercado_Receita!$L$2:$L$391)+SUMIF(Mercado_Receita!$S$2:$S$391,"44713B1Convencional pré-pagamentoResidencialResidencial baixa renda – faixa 01Não se aplicaNão se aplicaFora ponta",Mercado_Receita!$L$2:$L$391)+SUMIF(Mercado_Receita!$S$2:$S$391,"44713B1Convencional pré-pagamentoResidencialResidencial baixa renda – faixa 01Não se aplicaNão se aplicaIntermediário",Mercado_Receita!$L$2:$L$391)+SUMIF(Mercado_Receita!$S$2:$S$391,"44713B1Convencional pré-pagamentoResidencialResidencial baixa renda – faixa 01Não se aplicaNão se aplicaNão se aplica",Mercado_Receita!$L$2:$L$391)</f>
        <v>0</v>
      </c>
      <c r="S23" s="13">
        <f>SUMIF(Mercado_Receita!$S$2:$S$391,"44743B1Convencional pré-pagamentoResidencialResidencial baixa renda – faixa 01Não se aplicaNão se aplicaPonta",Mercado_Receita!$L$2:$L$391)+SUMIF(Mercado_Receita!$S$2:$S$391,"44743B1Convencional pré-pagamentoResidencialResidencial baixa renda – faixa 01Não se aplicaNão se aplicaFora ponta",Mercado_Receita!$L$2:$L$391)+SUMIF(Mercado_Receita!$S$2:$S$391,"44743B1Convencional pré-pagamentoResidencialResidencial baixa renda – faixa 01Não se aplicaNão se aplicaIntermediário",Mercado_Receita!$L$2:$L$391)+SUMIF(Mercado_Receita!$S$2:$S$391,"44743B1Convencional pré-pagamentoResidencialResidencial baixa renda – faixa 01Não se aplicaNão se aplicaNão se aplica",Mercado_Receita!$L$2:$L$391)</f>
        <v>0</v>
      </c>
      <c r="T23" s="13">
        <f>SUMIF(Mercado_Receita!$S$2:$S$391,"44774B1Convencional pré-pagamentoResidencialResidencial baixa renda – faixa 01Não se aplicaNão se aplicaPonta",Mercado_Receita!$L$2:$L$391)+SUMIF(Mercado_Receita!$S$2:$S$391,"44774B1Convencional pré-pagamentoResidencialResidencial baixa renda – faixa 01Não se aplicaNão se aplicaFora ponta",Mercado_Receita!$L$2:$L$391)+SUMIF(Mercado_Receita!$S$2:$S$391,"44774B1Convencional pré-pagamentoResidencialResidencial baixa renda – faixa 01Não se aplicaNão se aplicaIntermediário",Mercado_Receita!$L$2:$L$391)+SUMIF(Mercado_Receita!$S$2:$S$391,"44774B1Convencional pré-pagamentoResidencialResidencial baixa renda – faixa 01Não se aplicaNão se aplicaNão se aplica",Mercado_Receita!$L$2:$L$391)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8"/>
      <c r="B24" s="78"/>
      <c r="C24" s="78"/>
      <c r="D24" s="12" t="s">
        <v>30</v>
      </c>
      <c r="E24" s="12" t="s">
        <v>25</v>
      </c>
      <c r="F24" s="12" t="s">
        <v>25</v>
      </c>
      <c r="G24" s="13" t="s">
        <v>79</v>
      </c>
      <c r="H24" s="13" t="s">
        <v>72</v>
      </c>
      <c r="I24" s="13">
        <f>SUMIF(Mercado_Receita!$S$2:$S$391,"44440B1Convencional pré-pagamentoResidencialResidencial baixa renda – faixa 02Não se aplicaNão se aplicaPonta",Mercado_Receita!$L$2:$L$391)+SUMIF(Mercado_Receita!$S$2:$S$391,"44440B1Convencional pré-pagamentoResidencialResidencial baixa renda – faixa 02Não se aplicaNão se aplicaFora ponta",Mercado_Receita!$L$2:$L$391)+SUMIF(Mercado_Receita!$S$2:$S$391,"44440B1Convencional pré-pagamentoResidencialResidencial baixa renda – faixa 02Não se aplicaNão se aplicaIntermediário",Mercado_Receita!$L$2:$L$391)+SUMIF(Mercado_Receita!$S$2:$S$391,"44440B1Convencional pré-pagamentoResidencialResidencial baixa renda – faixa 02Não se aplicaNão se aplicaNão se aplica",Mercado_Receita!$L$2:$L$391)</f>
        <v>0</v>
      </c>
      <c r="J24" s="13">
        <f>SUMIF(Mercado_Receita!$S$2:$S$391,"44470B1Convencional pré-pagamentoResidencialResidencial baixa renda – faixa 02Não se aplicaNão se aplicaPonta",Mercado_Receita!$L$2:$L$391)+SUMIF(Mercado_Receita!$S$2:$S$391,"44470B1Convencional pré-pagamentoResidencialResidencial baixa renda – faixa 02Não se aplicaNão se aplicaFora ponta",Mercado_Receita!$L$2:$L$391)+SUMIF(Mercado_Receita!$S$2:$S$391,"44470B1Convencional pré-pagamentoResidencialResidencial baixa renda – faixa 02Não se aplicaNão se aplicaIntermediário",Mercado_Receita!$L$2:$L$391)+SUMIF(Mercado_Receita!$S$2:$S$391,"44470B1Convencional pré-pagamentoResidencialResidencial baixa renda – faixa 02Não se aplicaNão se aplicaNão se aplica",Mercado_Receita!$L$2:$L$391)</f>
        <v>0</v>
      </c>
      <c r="K24" s="13">
        <f>SUMIF(Mercado_Receita!$S$2:$S$391,"44501B1Convencional pré-pagamentoResidencialResidencial baixa renda – faixa 02Não se aplicaNão se aplicaPonta",Mercado_Receita!$L$2:$L$391)+SUMIF(Mercado_Receita!$S$2:$S$391,"44501B1Convencional pré-pagamentoResidencialResidencial baixa renda – faixa 02Não se aplicaNão se aplicaFora ponta",Mercado_Receita!$L$2:$L$391)+SUMIF(Mercado_Receita!$S$2:$S$391,"44501B1Convencional pré-pagamentoResidencialResidencial baixa renda – faixa 02Não se aplicaNão se aplicaIntermediário",Mercado_Receita!$L$2:$L$391)+SUMIF(Mercado_Receita!$S$2:$S$391,"44501B1Convencional pré-pagamentoResidencialResidencial baixa renda – faixa 02Não se aplicaNão se aplicaNão se aplica",Mercado_Receita!$L$2:$L$391)</f>
        <v>0</v>
      </c>
      <c r="L24" s="13">
        <f>SUMIF(Mercado_Receita!$S$2:$S$391,"44531B1Convencional pré-pagamentoResidencialResidencial baixa renda – faixa 02Não se aplicaNão se aplicaPonta",Mercado_Receita!$L$2:$L$391)+SUMIF(Mercado_Receita!$S$2:$S$391,"44531B1Convencional pré-pagamentoResidencialResidencial baixa renda – faixa 02Não se aplicaNão se aplicaFora ponta",Mercado_Receita!$L$2:$L$391)+SUMIF(Mercado_Receita!$S$2:$S$391,"44531B1Convencional pré-pagamentoResidencialResidencial baixa renda – faixa 02Não se aplicaNão se aplicaIntermediário",Mercado_Receita!$L$2:$L$391)+SUMIF(Mercado_Receita!$S$2:$S$391,"44531B1Convencional pré-pagamentoResidencialResidencial baixa renda – faixa 02Não se aplicaNão se aplicaNão se aplica",Mercado_Receita!$L$2:$L$391)</f>
        <v>0</v>
      </c>
      <c r="M24" s="13">
        <f>SUMIF(Mercado_Receita!$S$2:$S$391,"44562B1Convencional pré-pagamentoResidencialResidencial baixa renda – faixa 02Não se aplicaNão se aplicaPonta",Mercado_Receita!$L$2:$L$391)+SUMIF(Mercado_Receita!$S$2:$S$391,"44562B1Convencional pré-pagamentoResidencialResidencial baixa renda – faixa 02Não se aplicaNão se aplicaFora ponta",Mercado_Receita!$L$2:$L$391)+SUMIF(Mercado_Receita!$S$2:$S$391,"44562B1Convencional pré-pagamentoResidencialResidencial baixa renda – faixa 02Não se aplicaNão se aplicaIntermediário",Mercado_Receita!$L$2:$L$391)+SUMIF(Mercado_Receita!$S$2:$S$391,"44562B1Convencional pré-pagamentoResidencialResidencial baixa renda – faixa 02Não se aplicaNão se aplicaNão se aplica",Mercado_Receita!$L$2:$L$391)</f>
        <v>0</v>
      </c>
      <c r="N24" s="13">
        <f>SUMIF(Mercado_Receita!$S$2:$S$391,"44593B1Convencional pré-pagamentoResidencialResidencial baixa renda – faixa 02Não se aplicaNão se aplicaPonta",Mercado_Receita!$L$2:$L$391)+SUMIF(Mercado_Receita!$S$2:$S$391,"44593B1Convencional pré-pagamentoResidencialResidencial baixa renda – faixa 02Não se aplicaNão se aplicaFora ponta",Mercado_Receita!$L$2:$L$391)+SUMIF(Mercado_Receita!$S$2:$S$391,"44593B1Convencional pré-pagamentoResidencialResidencial baixa renda – faixa 02Não se aplicaNão se aplicaIntermediário",Mercado_Receita!$L$2:$L$391)+SUMIF(Mercado_Receita!$S$2:$S$391,"44593B1Convencional pré-pagamentoResidencialResidencial baixa renda – faixa 02Não se aplicaNão se aplicaNão se aplica",Mercado_Receita!$L$2:$L$391)</f>
        <v>0</v>
      </c>
      <c r="O24" s="13">
        <f>SUMIF(Mercado_Receita!$S$2:$S$391,"44621B1Convencional pré-pagamentoResidencialResidencial baixa renda – faixa 02Não se aplicaNão se aplicaPonta",Mercado_Receita!$L$2:$L$391)+SUMIF(Mercado_Receita!$S$2:$S$391,"44621B1Convencional pré-pagamentoResidencialResidencial baixa renda – faixa 02Não se aplicaNão se aplicaFora ponta",Mercado_Receita!$L$2:$L$391)+SUMIF(Mercado_Receita!$S$2:$S$391,"44621B1Convencional pré-pagamentoResidencialResidencial baixa renda – faixa 02Não se aplicaNão se aplicaIntermediário",Mercado_Receita!$L$2:$L$391)+SUMIF(Mercado_Receita!$S$2:$S$391,"44621B1Convencional pré-pagamentoResidencialResidencial baixa renda – faixa 02Não se aplicaNão se aplicaNão se aplica",Mercado_Receita!$L$2:$L$391)</f>
        <v>0</v>
      </c>
      <c r="P24" s="13">
        <f>SUMIF(Mercado_Receita!$S$2:$S$391,"44652B1Convencional pré-pagamentoResidencialResidencial baixa renda – faixa 02Não se aplicaNão se aplicaPonta",Mercado_Receita!$L$2:$L$391)+SUMIF(Mercado_Receita!$S$2:$S$391,"44652B1Convencional pré-pagamentoResidencialResidencial baixa renda – faixa 02Não se aplicaNão se aplicaFora ponta",Mercado_Receita!$L$2:$L$391)+SUMIF(Mercado_Receita!$S$2:$S$391,"44652B1Convencional pré-pagamentoResidencialResidencial baixa renda – faixa 02Não se aplicaNão se aplicaIntermediário",Mercado_Receita!$L$2:$L$391)+SUMIF(Mercado_Receita!$S$2:$S$391,"44652B1Convencional pré-pagamentoResidencialResidencial baixa renda – faixa 02Não se aplicaNão se aplicaNão se aplica",Mercado_Receita!$L$2:$L$391)</f>
        <v>0</v>
      </c>
      <c r="Q24" s="13">
        <f>SUMIF(Mercado_Receita!$S$2:$S$391,"44682B1Convencional pré-pagamentoResidencialResidencial baixa renda – faixa 02Não se aplicaNão se aplicaPonta",Mercado_Receita!$L$2:$L$391)+SUMIF(Mercado_Receita!$S$2:$S$391,"44682B1Convencional pré-pagamentoResidencialResidencial baixa renda – faixa 02Não se aplicaNão se aplicaFora ponta",Mercado_Receita!$L$2:$L$391)+SUMIF(Mercado_Receita!$S$2:$S$391,"44682B1Convencional pré-pagamentoResidencialResidencial baixa renda – faixa 02Não se aplicaNão se aplicaIntermediário",Mercado_Receita!$L$2:$L$391)+SUMIF(Mercado_Receita!$S$2:$S$391,"44682B1Convencional pré-pagamentoResidencialResidencial baixa renda – faixa 02Não se aplicaNão se aplicaNão se aplica",Mercado_Receita!$L$2:$L$391)</f>
        <v>0</v>
      </c>
      <c r="R24" s="13">
        <f>SUMIF(Mercado_Receita!$S$2:$S$391,"44713B1Convencional pré-pagamentoResidencialResidencial baixa renda – faixa 02Não se aplicaNão se aplicaPonta",Mercado_Receita!$L$2:$L$391)+SUMIF(Mercado_Receita!$S$2:$S$391,"44713B1Convencional pré-pagamentoResidencialResidencial baixa renda – faixa 02Não se aplicaNão se aplicaFora ponta",Mercado_Receita!$L$2:$L$391)+SUMIF(Mercado_Receita!$S$2:$S$391,"44713B1Convencional pré-pagamentoResidencialResidencial baixa renda – faixa 02Não se aplicaNão se aplicaIntermediário",Mercado_Receita!$L$2:$L$391)+SUMIF(Mercado_Receita!$S$2:$S$391,"44713B1Convencional pré-pagamentoResidencialResidencial baixa renda – faixa 02Não se aplicaNão se aplicaNão se aplica",Mercado_Receita!$L$2:$L$391)</f>
        <v>0</v>
      </c>
      <c r="S24" s="13">
        <f>SUMIF(Mercado_Receita!$S$2:$S$391,"44743B1Convencional pré-pagamentoResidencialResidencial baixa renda – faixa 02Não se aplicaNão se aplicaPonta",Mercado_Receita!$L$2:$L$391)+SUMIF(Mercado_Receita!$S$2:$S$391,"44743B1Convencional pré-pagamentoResidencialResidencial baixa renda – faixa 02Não se aplicaNão se aplicaFora ponta",Mercado_Receita!$L$2:$L$391)+SUMIF(Mercado_Receita!$S$2:$S$391,"44743B1Convencional pré-pagamentoResidencialResidencial baixa renda – faixa 02Não se aplicaNão se aplicaIntermediário",Mercado_Receita!$L$2:$L$391)+SUMIF(Mercado_Receita!$S$2:$S$391,"44743B1Convencional pré-pagamentoResidencialResidencial baixa renda – faixa 02Não se aplicaNão se aplicaNão se aplica",Mercado_Receita!$L$2:$L$391)</f>
        <v>0</v>
      </c>
      <c r="T24" s="13">
        <f>SUMIF(Mercado_Receita!$S$2:$S$391,"44774B1Convencional pré-pagamentoResidencialResidencial baixa renda – faixa 02Não se aplicaNão se aplicaPonta",Mercado_Receita!$L$2:$L$391)+SUMIF(Mercado_Receita!$S$2:$S$391,"44774B1Convencional pré-pagamentoResidencialResidencial baixa renda – faixa 02Não se aplicaNão se aplicaFora ponta",Mercado_Receita!$L$2:$L$391)+SUMIF(Mercado_Receita!$S$2:$S$391,"44774B1Convencional pré-pagamentoResidencialResidencial baixa renda – faixa 02Não se aplicaNão se aplicaIntermediário",Mercado_Receita!$L$2:$L$391)+SUMIF(Mercado_Receita!$S$2:$S$391,"44774B1Convencional pré-pagamentoResidencialResidencial baixa renda – faixa 02Não se aplicaNão se aplicaNão se aplica",Mercado_Receita!$L$2:$L$391)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8"/>
      <c r="B25" s="78"/>
      <c r="C25" s="78"/>
      <c r="D25" s="12" t="s">
        <v>31</v>
      </c>
      <c r="E25" s="12" t="s">
        <v>25</v>
      </c>
      <c r="F25" s="12" t="s">
        <v>25</v>
      </c>
      <c r="G25" s="13" t="s">
        <v>79</v>
      </c>
      <c r="H25" s="13" t="s">
        <v>72</v>
      </c>
      <c r="I25" s="13">
        <f>SUMIF(Mercado_Receita!$S$2:$S$391,"44440B1Convencional pré-pagamentoResidencialResidencial baixa renda – faixa 03Não se aplicaNão se aplicaPonta",Mercado_Receita!$L$2:$L$391)+SUMIF(Mercado_Receita!$S$2:$S$391,"44440B1Convencional pré-pagamentoResidencialResidencial baixa renda – faixa 03Não se aplicaNão se aplicaFora ponta",Mercado_Receita!$L$2:$L$391)+SUMIF(Mercado_Receita!$S$2:$S$391,"44440B1Convencional pré-pagamentoResidencialResidencial baixa renda – faixa 03Não se aplicaNão se aplicaIntermediário",Mercado_Receita!$L$2:$L$391)+SUMIF(Mercado_Receita!$S$2:$S$391,"44440B1Convencional pré-pagamentoResidencialResidencial baixa renda – faixa 03Não se aplicaNão se aplicaNão se aplica",Mercado_Receita!$L$2:$L$391)</f>
        <v>0</v>
      </c>
      <c r="J25" s="13">
        <f>SUMIF(Mercado_Receita!$S$2:$S$391,"44470B1Convencional pré-pagamentoResidencialResidencial baixa renda – faixa 03Não se aplicaNão se aplicaPonta",Mercado_Receita!$L$2:$L$391)+SUMIF(Mercado_Receita!$S$2:$S$391,"44470B1Convencional pré-pagamentoResidencialResidencial baixa renda – faixa 03Não se aplicaNão se aplicaFora ponta",Mercado_Receita!$L$2:$L$391)+SUMIF(Mercado_Receita!$S$2:$S$391,"44470B1Convencional pré-pagamentoResidencialResidencial baixa renda – faixa 03Não se aplicaNão se aplicaIntermediário",Mercado_Receita!$L$2:$L$391)+SUMIF(Mercado_Receita!$S$2:$S$391,"44470B1Convencional pré-pagamentoResidencialResidencial baixa renda – faixa 03Não se aplicaNão se aplicaNão se aplica",Mercado_Receita!$L$2:$L$391)</f>
        <v>0</v>
      </c>
      <c r="K25" s="13">
        <f>SUMIF(Mercado_Receita!$S$2:$S$391,"44501B1Convencional pré-pagamentoResidencialResidencial baixa renda – faixa 03Não se aplicaNão se aplicaPonta",Mercado_Receita!$L$2:$L$391)+SUMIF(Mercado_Receita!$S$2:$S$391,"44501B1Convencional pré-pagamentoResidencialResidencial baixa renda – faixa 03Não se aplicaNão se aplicaFora ponta",Mercado_Receita!$L$2:$L$391)+SUMIF(Mercado_Receita!$S$2:$S$391,"44501B1Convencional pré-pagamentoResidencialResidencial baixa renda – faixa 03Não se aplicaNão se aplicaIntermediário",Mercado_Receita!$L$2:$L$391)+SUMIF(Mercado_Receita!$S$2:$S$391,"44501B1Convencional pré-pagamentoResidencialResidencial baixa renda – faixa 03Não se aplicaNão se aplicaNão se aplica",Mercado_Receita!$L$2:$L$391)</f>
        <v>0</v>
      </c>
      <c r="L25" s="13">
        <f>SUMIF(Mercado_Receita!$S$2:$S$391,"44531B1Convencional pré-pagamentoResidencialResidencial baixa renda – faixa 03Não se aplicaNão se aplicaPonta",Mercado_Receita!$L$2:$L$391)+SUMIF(Mercado_Receita!$S$2:$S$391,"44531B1Convencional pré-pagamentoResidencialResidencial baixa renda – faixa 03Não se aplicaNão se aplicaFora ponta",Mercado_Receita!$L$2:$L$391)+SUMIF(Mercado_Receita!$S$2:$S$391,"44531B1Convencional pré-pagamentoResidencialResidencial baixa renda – faixa 03Não se aplicaNão se aplicaIntermediário",Mercado_Receita!$L$2:$L$391)+SUMIF(Mercado_Receita!$S$2:$S$391,"44531B1Convencional pré-pagamentoResidencialResidencial baixa renda – faixa 03Não se aplicaNão se aplicaNão se aplica",Mercado_Receita!$L$2:$L$391)</f>
        <v>0</v>
      </c>
      <c r="M25" s="13">
        <f>SUMIF(Mercado_Receita!$S$2:$S$391,"44562B1Convencional pré-pagamentoResidencialResidencial baixa renda – faixa 03Não se aplicaNão se aplicaPonta",Mercado_Receita!$L$2:$L$391)+SUMIF(Mercado_Receita!$S$2:$S$391,"44562B1Convencional pré-pagamentoResidencialResidencial baixa renda – faixa 03Não se aplicaNão se aplicaFora ponta",Mercado_Receita!$L$2:$L$391)+SUMIF(Mercado_Receita!$S$2:$S$391,"44562B1Convencional pré-pagamentoResidencialResidencial baixa renda – faixa 03Não se aplicaNão se aplicaIntermediário",Mercado_Receita!$L$2:$L$391)+SUMIF(Mercado_Receita!$S$2:$S$391,"44562B1Convencional pré-pagamentoResidencialResidencial baixa renda – faixa 03Não se aplicaNão se aplicaNão se aplica",Mercado_Receita!$L$2:$L$391)</f>
        <v>0</v>
      </c>
      <c r="N25" s="13">
        <f>SUMIF(Mercado_Receita!$S$2:$S$391,"44593B1Convencional pré-pagamentoResidencialResidencial baixa renda – faixa 03Não se aplicaNão se aplicaPonta",Mercado_Receita!$L$2:$L$391)+SUMIF(Mercado_Receita!$S$2:$S$391,"44593B1Convencional pré-pagamentoResidencialResidencial baixa renda – faixa 03Não se aplicaNão se aplicaFora ponta",Mercado_Receita!$L$2:$L$391)+SUMIF(Mercado_Receita!$S$2:$S$391,"44593B1Convencional pré-pagamentoResidencialResidencial baixa renda – faixa 03Não se aplicaNão se aplicaIntermediário",Mercado_Receita!$L$2:$L$391)+SUMIF(Mercado_Receita!$S$2:$S$391,"44593B1Convencional pré-pagamentoResidencialResidencial baixa renda – faixa 03Não se aplicaNão se aplicaNão se aplica",Mercado_Receita!$L$2:$L$391)</f>
        <v>0</v>
      </c>
      <c r="O25" s="13">
        <f>SUMIF(Mercado_Receita!$S$2:$S$391,"44621B1Convencional pré-pagamentoResidencialResidencial baixa renda – faixa 03Não se aplicaNão se aplicaPonta",Mercado_Receita!$L$2:$L$391)+SUMIF(Mercado_Receita!$S$2:$S$391,"44621B1Convencional pré-pagamentoResidencialResidencial baixa renda – faixa 03Não se aplicaNão se aplicaFora ponta",Mercado_Receita!$L$2:$L$391)+SUMIF(Mercado_Receita!$S$2:$S$391,"44621B1Convencional pré-pagamentoResidencialResidencial baixa renda – faixa 03Não se aplicaNão se aplicaIntermediário",Mercado_Receita!$L$2:$L$391)+SUMIF(Mercado_Receita!$S$2:$S$391,"44621B1Convencional pré-pagamentoResidencialResidencial baixa renda – faixa 03Não se aplicaNão se aplicaNão se aplica",Mercado_Receita!$L$2:$L$391)</f>
        <v>0</v>
      </c>
      <c r="P25" s="13">
        <f>SUMIF(Mercado_Receita!$S$2:$S$391,"44652B1Convencional pré-pagamentoResidencialResidencial baixa renda – faixa 03Não se aplicaNão se aplicaPonta",Mercado_Receita!$L$2:$L$391)+SUMIF(Mercado_Receita!$S$2:$S$391,"44652B1Convencional pré-pagamentoResidencialResidencial baixa renda – faixa 03Não se aplicaNão se aplicaFora ponta",Mercado_Receita!$L$2:$L$391)+SUMIF(Mercado_Receita!$S$2:$S$391,"44652B1Convencional pré-pagamentoResidencialResidencial baixa renda – faixa 03Não se aplicaNão se aplicaIntermediário",Mercado_Receita!$L$2:$L$391)+SUMIF(Mercado_Receita!$S$2:$S$391,"44652B1Convencional pré-pagamentoResidencialResidencial baixa renda – faixa 03Não se aplicaNão se aplicaNão se aplica",Mercado_Receita!$L$2:$L$391)</f>
        <v>0</v>
      </c>
      <c r="Q25" s="13">
        <f>SUMIF(Mercado_Receita!$S$2:$S$391,"44682B1Convencional pré-pagamentoResidencialResidencial baixa renda – faixa 03Não se aplicaNão se aplicaPonta",Mercado_Receita!$L$2:$L$391)+SUMIF(Mercado_Receita!$S$2:$S$391,"44682B1Convencional pré-pagamentoResidencialResidencial baixa renda – faixa 03Não se aplicaNão se aplicaFora ponta",Mercado_Receita!$L$2:$L$391)+SUMIF(Mercado_Receita!$S$2:$S$391,"44682B1Convencional pré-pagamentoResidencialResidencial baixa renda – faixa 03Não se aplicaNão se aplicaIntermediário",Mercado_Receita!$L$2:$L$391)+SUMIF(Mercado_Receita!$S$2:$S$391,"44682B1Convencional pré-pagamentoResidencialResidencial baixa renda – faixa 03Não se aplicaNão se aplicaNão se aplica",Mercado_Receita!$L$2:$L$391)</f>
        <v>0</v>
      </c>
      <c r="R25" s="13">
        <f>SUMIF(Mercado_Receita!$S$2:$S$391,"44713B1Convencional pré-pagamentoResidencialResidencial baixa renda – faixa 03Não se aplicaNão se aplicaPonta",Mercado_Receita!$L$2:$L$391)+SUMIF(Mercado_Receita!$S$2:$S$391,"44713B1Convencional pré-pagamentoResidencialResidencial baixa renda – faixa 03Não se aplicaNão se aplicaFora ponta",Mercado_Receita!$L$2:$L$391)+SUMIF(Mercado_Receita!$S$2:$S$391,"44713B1Convencional pré-pagamentoResidencialResidencial baixa renda – faixa 03Não se aplicaNão se aplicaIntermediário",Mercado_Receita!$L$2:$L$391)+SUMIF(Mercado_Receita!$S$2:$S$391,"44713B1Convencional pré-pagamentoResidencialResidencial baixa renda – faixa 03Não se aplicaNão se aplicaNão se aplica",Mercado_Receita!$L$2:$L$391)</f>
        <v>0</v>
      </c>
      <c r="S25" s="13">
        <f>SUMIF(Mercado_Receita!$S$2:$S$391,"44743B1Convencional pré-pagamentoResidencialResidencial baixa renda – faixa 03Não se aplicaNão se aplicaPonta",Mercado_Receita!$L$2:$L$391)+SUMIF(Mercado_Receita!$S$2:$S$391,"44743B1Convencional pré-pagamentoResidencialResidencial baixa renda – faixa 03Não se aplicaNão se aplicaFora ponta",Mercado_Receita!$L$2:$L$391)+SUMIF(Mercado_Receita!$S$2:$S$391,"44743B1Convencional pré-pagamentoResidencialResidencial baixa renda – faixa 03Não se aplicaNão se aplicaIntermediário",Mercado_Receita!$L$2:$L$391)+SUMIF(Mercado_Receita!$S$2:$S$391,"44743B1Convencional pré-pagamentoResidencialResidencial baixa renda – faixa 03Não se aplicaNão se aplicaNão se aplica",Mercado_Receita!$L$2:$L$391)</f>
        <v>0</v>
      </c>
      <c r="T25" s="13">
        <f>SUMIF(Mercado_Receita!$S$2:$S$391,"44774B1Convencional pré-pagamentoResidencialResidencial baixa renda – faixa 03Não se aplicaNão se aplicaPonta",Mercado_Receita!$L$2:$L$391)+SUMIF(Mercado_Receita!$S$2:$S$391,"44774B1Convencional pré-pagamentoResidencialResidencial baixa renda – faixa 03Não se aplicaNão se aplicaFora ponta",Mercado_Receita!$L$2:$L$391)+SUMIF(Mercado_Receita!$S$2:$S$391,"44774B1Convencional pré-pagamentoResidencialResidencial baixa renda – faixa 03Não se aplicaNão se aplicaIntermediário",Mercado_Receita!$L$2:$L$391)+SUMIF(Mercado_Receita!$S$2:$S$391,"44774B1Convencional pré-pagamentoResidencialResidencial baixa renda – faixa 03Não se aplicaNão se aplicaNão se aplica",Mercado_Receita!$L$2:$L$391)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8"/>
      <c r="B26" s="78"/>
      <c r="C26" s="78"/>
      <c r="D26" s="12" t="s">
        <v>32</v>
      </c>
      <c r="E26" s="12" t="s">
        <v>25</v>
      </c>
      <c r="F26" s="12" t="s">
        <v>25</v>
      </c>
      <c r="G26" s="13" t="s">
        <v>79</v>
      </c>
      <c r="H26" s="13" t="s">
        <v>72</v>
      </c>
      <c r="I26" s="13">
        <f>SUMIF(Mercado_Receita!$S$2:$S$391,"44440B1Convencional pré-pagamentoResidencialResidencial baixa renda – faixa 04Não se aplicaNão se aplicaPonta",Mercado_Receita!$L$2:$L$391)+SUMIF(Mercado_Receita!$S$2:$S$391,"44440B1Convencional pré-pagamentoResidencialResidencial baixa renda – faixa 04Não se aplicaNão se aplicaFora ponta",Mercado_Receita!$L$2:$L$391)+SUMIF(Mercado_Receita!$S$2:$S$391,"44440B1Convencional pré-pagamentoResidencialResidencial baixa renda – faixa 04Não se aplicaNão se aplicaIntermediário",Mercado_Receita!$L$2:$L$391)+SUMIF(Mercado_Receita!$S$2:$S$391,"44440B1Convencional pré-pagamentoResidencialResidencial baixa renda – faixa 04Não se aplicaNão se aplicaNão se aplica",Mercado_Receita!$L$2:$L$391)</f>
        <v>0</v>
      </c>
      <c r="J26" s="13">
        <f>SUMIF(Mercado_Receita!$S$2:$S$391,"44470B1Convencional pré-pagamentoResidencialResidencial baixa renda – faixa 04Não se aplicaNão se aplicaPonta",Mercado_Receita!$L$2:$L$391)+SUMIF(Mercado_Receita!$S$2:$S$391,"44470B1Convencional pré-pagamentoResidencialResidencial baixa renda – faixa 04Não se aplicaNão se aplicaFora ponta",Mercado_Receita!$L$2:$L$391)+SUMIF(Mercado_Receita!$S$2:$S$391,"44470B1Convencional pré-pagamentoResidencialResidencial baixa renda – faixa 04Não se aplicaNão se aplicaIntermediário",Mercado_Receita!$L$2:$L$391)+SUMIF(Mercado_Receita!$S$2:$S$391,"44470B1Convencional pré-pagamentoResidencialResidencial baixa renda – faixa 04Não se aplicaNão se aplicaNão se aplica",Mercado_Receita!$L$2:$L$391)</f>
        <v>0</v>
      </c>
      <c r="K26" s="13">
        <f>SUMIF(Mercado_Receita!$S$2:$S$391,"44501B1Convencional pré-pagamentoResidencialResidencial baixa renda – faixa 04Não se aplicaNão se aplicaPonta",Mercado_Receita!$L$2:$L$391)+SUMIF(Mercado_Receita!$S$2:$S$391,"44501B1Convencional pré-pagamentoResidencialResidencial baixa renda – faixa 04Não se aplicaNão se aplicaFora ponta",Mercado_Receita!$L$2:$L$391)+SUMIF(Mercado_Receita!$S$2:$S$391,"44501B1Convencional pré-pagamentoResidencialResidencial baixa renda – faixa 04Não se aplicaNão se aplicaIntermediário",Mercado_Receita!$L$2:$L$391)+SUMIF(Mercado_Receita!$S$2:$S$391,"44501B1Convencional pré-pagamentoResidencialResidencial baixa renda – faixa 04Não se aplicaNão se aplicaNão se aplica",Mercado_Receita!$L$2:$L$391)</f>
        <v>0</v>
      </c>
      <c r="L26" s="13">
        <f>SUMIF(Mercado_Receita!$S$2:$S$391,"44531B1Convencional pré-pagamentoResidencialResidencial baixa renda – faixa 04Não se aplicaNão se aplicaPonta",Mercado_Receita!$L$2:$L$391)+SUMIF(Mercado_Receita!$S$2:$S$391,"44531B1Convencional pré-pagamentoResidencialResidencial baixa renda – faixa 04Não se aplicaNão se aplicaFora ponta",Mercado_Receita!$L$2:$L$391)+SUMIF(Mercado_Receita!$S$2:$S$391,"44531B1Convencional pré-pagamentoResidencialResidencial baixa renda – faixa 04Não se aplicaNão se aplicaIntermediário",Mercado_Receita!$L$2:$L$391)+SUMIF(Mercado_Receita!$S$2:$S$391,"44531B1Convencional pré-pagamentoResidencialResidencial baixa renda – faixa 04Não se aplicaNão se aplicaNão se aplica",Mercado_Receita!$L$2:$L$391)</f>
        <v>0</v>
      </c>
      <c r="M26" s="13">
        <f>SUMIF(Mercado_Receita!$S$2:$S$391,"44562B1Convencional pré-pagamentoResidencialResidencial baixa renda – faixa 04Não se aplicaNão se aplicaPonta",Mercado_Receita!$L$2:$L$391)+SUMIF(Mercado_Receita!$S$2:$S$391,"44562B1Convencional pré-pagamentoResidencialResidencial baixa renda – faixa 04Não se aplicaNão se aplicaFora ponta",Mercado_Receita!$L$2:$L$391)+SUMIF(Mercado_Receita!$S$2:$S$391,"44562B1Convencional pré-pagamentoResidencialResidencial baixa renda – faixa 04Não se aplicaNão se aplicaIntermediário",Mercado_Receita!$L$2:$L$391)+SUMIF(Mercado_Receita!$S$2:$S$391,"44562B1Convencional pré-pagamentoResidencialResidencial baixa renda – faixa 04Não se aplicaNão se aplicaNão se aplica",Mercado_Receita!$L$2:$L$391)</f>
        <v>0</v>
      </c>
      <c r="N26" s="13">
        <f>SUMIF(Mercado_Receita!$S$2:$S$391,"44593B1Convencional pré-pagamentoResidencialResidencial baixa renda – faixa 04Não se aplicaNão se aplicaPonta",Mercado_Receita!$L$2:$L$391)+SUMIF(Mercado_Receita!$S$2:$S$391,"44593B1Convencional pré-pagamentoResidencialResidencial baixa renda – faixa 04Não se aplicaNão se aplicaFora ponta",Mercado_Receita!$L$2:$L$391)+SUMIF(Mercado_Receita!$S$2:$S$391,"44593B1Convencional pré-pagamentoResidencialResidencial baixa renda – faixa 04Não se aplicaNão se aplicaIntermediário",Mercado_Receita!$L$2:$L$391)+SUMIF(Mercado_Receita!$S$2:$S$391,"44593B1Convencional pré-pagamentoResidencialResidencial baixa renda – faixa 04Não se aplicaNão se aplicaNão se aplica",Mercado_Receita!$L$2:$L$391)</f>
        <v>0</v>
      </c>
      <c r="O26" s="13">
        <f>SUMIF(Mercado_Receita!$S$2:$S$391,"44621B1Convencional pré-pagamentoResidencialResidencial baixa renda – faixa 04Não se aplicaNão se aplicaPonta",Mercado_Receita!$L$2:$L$391)+SUMIF(Mercado_Receita!$S$2:$S$391,"44621B1Convencional pré-pagamentoResidencialResidencial baixa renda – faixa 04Não se aplicaNão se aplicaFora ponta",Mercado_Receita!$L$2:$L$391)+SUMIF(Mercado_Receita!$S$2:$S$391,"44621B1Convencional pré-pagamentoResidencialResidencial baixa renda – faixa 04Não se aplicaNão se aplicaIntermediário",Mercado_Receita!$L$2:$L$391)+SUMIF(Mercado_Receita!$S$2:$S$391,"44621B1Convencional pré-pagamentoResidencialResidencial baixa renda – faixa 04Não se aplicaNão se aplicaNão se aplica",Mercado_Receita!$L$2:$L$391)</f>
        <v>0</v>
      </c>
      <c r="P26" s="13">
        <f>SUMIF(Mercado_Receita!$S$2:$S$391,"44652B1Convencional pré-pagamentoResidencialResidencial baixa renda – faixa 04Não se aplicaNão se aplicaPonta",Mercado_Receita!$L$2:$L$391)+SUMIF(Mercado_Receita!$S$2:$S$391,"44652B1Convencional pré-pagamentoResidencialResidencial baixa renda – faixa 04Não se aplicaNão se aplicaFora ponta",Mercado_Receita!$L$2:$L$391)+SUMIF(Mercado_Receita!$S$2:$S$391,"44652B1Convencional pré-pagamentoResidencialResidencial baixa renda – faixa 04Não se aplicaNão se aplicaIntermediário",Mercado_Receita!$L$2:$L$391)+SUMIF(Mercado_Receita!$S$2:$S$391,"44652B1Convencional pré-pagamentoResidencialResidencial baixa renda – faixa 04Não se aplicaNão se aplicaNão se aplica",Mercado_Receita!$L$2:$L$391)</f>
        <v>0</v>
      </c>
      <c r="Q26" s="13">
        <f>SUMIF(Mercado_Receita!$S$2:$S$391,"44682B1Convencional pré-pagamentoResidencialResidencial baixa renda – faixa 04Não se aplicaNão se aplicaPonta",Mercado_Receita!$L$2:$L$391)+SUMIF(Mercado_Receita!$S$2:$S$391,"44682B1Convencional pré-pagamentoResidencialResidencial baixa renda – faixa 04Não se aplicaNão se aplicaFora ponta",Mercado_Receita!$L$2:$L$391)+SUMIF(Mercado_Receita!$S$2:$S$391,"44682B1Convencional pré-pagamentoResidencialResidencial baixa renda – faixa 04Não se aplicaNão se aplicaIntermediário",Mercado_Receita!$L$2:$L$391)+SUMIF(Mercado_Receita!$S$2:$S$391,"44682B1Convencional pré-pagamentoResidencialResidencial baixa renda – faixa 04Não se aplicaNão se aplicaNão se aplica",Mercado_Receita!$L$2:$L$391)</f>
        <v>0</v>
      </c>
      <c r="R26" s="13">
        <f>SUMIF(Mercado_Receita!$S$2:$S$391,"44713B1Convencional pré-pagamentoResidencialResidencial baixa renda – faixa 04Não se aplicaNão se aplicaPonta",Mercado_Receita!$L$2:$L$391)+SUMIF(Mercado_Receita!$S$2:$S$391,"44713B1Convencional pré-pagamentoResidencialResidencial baixa renda – faixa 04Não se aplicaNão se aplicaFora ponta",Mercado_Receita!$L$2:$L$391)+SUMIF(Mercado_Receita!$S$2:$S$391,"44713B1Convencional pré-pagamentoResidencialResidencial baixa renda – faixa 04Não se aplicaNão se aplicaIntermediário",Mercado_Receita!$L$2:$L$391)+SUMIF(Mercado_Receita!$S$2:$S$391,"44713B1Convencional pré-pagamentoResidencialResidencial baixa renda – faixa 04Não se aplicaNão se aplicaNão se aplica",Mercado_Receita!$L$2:$L$391)</f>
        <v>0</v>
      </c>
      <c r="S26" s="13">
        <f>SUMIF(Mercado_Receita!$S$2:$S$391,"44743B1Convencional pré-pagamentoResidencialResidencial baixa renda – faixa 04Não se aplicaNão se aplicaPonta",Mercado_Receita!$L$2:$L$391)+SUMIF(Mercado_Receita!$S$2:$S$391,"44743B1Convencional pré-pagamentoResidencialResidencial baixa renda – faixa 04Não se aplicaNão se aplicaFora ponta",Mercado_Receita!$L$2:$L$391)+SUMIF(Mercado_Receita!$S$2:$S$391,"44743B1Convencional pré-pagamentoResidencialResidencial baixa renda – faixa 04Não se aplicaNão se aplicaIntermediário",Mercado_Receita!$L$2:$L$391)+SUMIF(Mercado_Receita!$S$2:$S$391,"44743B1Convencional pré-pagamentoResidencialResidencial baixa renda – faixa 04Não se aplicaNão se aplicaNão se aplica",Mercado_Receita!$L$2:$L$391)</f>
        <v>0</v>
      </c>
      <c r="T26" s="13">
        <f>SUMIF(Mercado_Receita!$S$2:$S$391,"44774B1Convencional pré-pagamentoResidencialResidencial baixa renda – faixa 04Não se aplicaNão se aplicaPonta",Mercado_Receita!$L$2:$L$391)+SUMIF(Mercado_Receita!$S$2:$S$391,"44774B1Convencional pré-pagamentoResidencialResidencial baixa renda – faixa 04Não se aplicaNão se aplicaFora ponta",Mercado_Receita!$L$2:$L$391)+SUMIF(Mercado_Receita!$S$2:$S$391,"44774B1Convencional pré-pagamentoResidencialResidencial baixa renda – faixa 04Não se aplicaNão se aplicaIntermediário",Mercado_Receita!$L$2:$L$391)+SUMIF(Mercado_Receita!$S$2:$S$391,"44774B1Convencional pré-pagamentoResidencialResidencial baixa renda – faixa 04Não se aplicaNão se aplicaNão se aplica",Mercado_Receita!$L$2:$L$391)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7" t="s">
        <v>42</v>
      </c>
      <c r="B27" s="77" t="s">
        <v>40</v>
      </c>
      <c r="C27" s="77" t="s">
        <v>43</v>
      </c>
      <c r="D27" s="77" t="s">
        <v>25</v>
      </c>
      <c r="E27" s="77" t="s">
        <v>25</v>
      </c>
      <c r="F27" s="77" t="s">
        <v>25</v>
      </c>
      <c r="G27" s="13" t="s">
        <v>73</v>
      </c>
      <c r="H27" s="13" t="s">
        <v>72</v>
      </c>
      <c r="I27" s="13">
        <f>SUMIF(Mercado_Receita!$S$2:$S$391,"44440B2BrancaRuralNão se aplicaNão se aplicaNão se aplicaPonta",Mercado_Receita!$L$2:$L$391)</f>
        <v>0</v>
      </c>
      <c r="J27" s="13">
        <f>SUMIF(Mercado_Receita!$S$2:$S$391,"44470B2BrancaRuralNão se aplicaNão se aplicaNão se aplicaPonta",Mercado_Receita!$L$2:$L$391)</f>
        <v>0</v>
      </c>
      <c r="K27" s="13">
        <f>SUMIF(Mercado_Receita!$S$2:$S$391,"44501B2BrancaRuralNão se aplicaNão se aplicaNão se aplicaPonta",Mercado_Receita!$L$2:$L$391)</f>
        <v>0</v>
      </c>
      <c r="L27" s="13">
        <f>SUMIF(Mercado_Receita!$S$2:$S$391,"44531B2BrancaRuralNão se aplicaNão se aplicaNão se aplicaPonta",Mercado_Receita!$L$2:$L$391)</f>
        <v>0</v>
      </c>
      <c r="M27" s="13">
        <f>SUMIF(Mercado_Receita!$S$2:$S$391,"44562B2BrancaRuralNão se aplicaNão se aplicaNão se aplicaPonta",Mercado_Receita!$L$2:$L$391)</f>
        <v>0</v>
      </c>
      <c r="N27" s="13">
        <f>SUMIF(Mercado_Receita!$S$2:$S$391,"44593B2BrancaRuralNão se aplicaNão se aplicaNão se aplicaPonta",Mercado_Receita!$L$2:$L$391)</f>
        <v>0</v>
      </c>
      <c r="O27" s="13">
        <f>SUMIF(Mercado_Receita!$S$2:$S$391,"44621B2BrancaRuralNão se aplicaNão se aplicaNão se aplicaPonta",Mercado_Receita!$L$2:$L$391)</f>
        <v>0</v>
      </c>
      <c r="P27" s="13">
        <f>SUMIF(Mercado_Receita!$S$2:$S$391,"44652B2BrancaRuralNão se aplicaNão se aplicaNão se aplicaPonta",Mercado_Receita!$L$2:$L$391)</f>
        <v>0</v>
      </c>
      <c r="Q27" s="13">
        <f>SUMIF(Mercado_Receita!$S$2:$S$391,"44682B2BrancaRuralNão se aplicaNão se aplicaNão se aplicaPonta",Mercado_Receita!$L$2:$L$391)</f>
        <v>0</v>
      </c>
      <c r="R27" s="13">
        <f>SUMIF(Mercado_Receita!$S$2:$S$391,"44713B2BrancaRuralNão se aplicaNão se aplicaNão se aplicaPonta",Mercado_Receita!$L$2:$L$391)</f>
        <v>0</v>
      </c>
      <c r="S27" s="13">
        <f>SUMIF(Mercado_Receita!$S$2:$S$391,"44743B2BrancaRuralNão se aplicaNão se aplicaNão se aplicaPonta",Mercado_Receita!$L$2:$L$391)</f>
        <v>0</v>
      </c>
      <c r="T27" s="13">
        <f>SUMIF(Mercado_Receita!$S$2:$S$391,"44774B2BrancaRuralNão se aplicaNão se aplicaNão se aplicaPonta",Mercado_Receita!$L$2:$L$391)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8"/>
      <c r="B28" s="78"/>
      <c r="C28" s="78"/>
      <c r="D28" s="78"/>
      <c r="E28" s="78"/>
      <c r="F28" s="78"/>
      <c r="G28" s="13" t="s">
        <v>85</v>
      </c>
      <c r="H28" s="13" t="s">
        <v>72</v>
      </c>
      <c r="I28" s="13">
        <f>SUMIF(Mercado_Receita!$S$2:$S$391,"44440B2BrancaRuralNão se aplicaNão se aplicaNão se aplicaIntermediário",Mercado_Receita!$L$2:$L$391)</f>
        <v>0</v>
      </c>
      <c r="J28" s="13">
        <f>SUMIF(Mercado_Receita!$S$2:$S$391,"44470B2BrancaRuralNão se aplicaNão se aplicaNão se aplicaIntermediário",Mercado_Receita!$L$2:$L$391)</f>
        <v>0</v>
      </c>
      <c r="K28" s="13">
        <f>SUMIF(Mercado_Receita!$S$2:$S$391,"44501B2BrancaRuralNão se aplicaNão se aplicaNão se aplicaIntermediário",Mercado_Receita!$L$2:$L$391)</f>
        <v>0</v>
      </c>
      <c r="L28" s="13">
        <f>SUMIF(Mercado_Receita!$S$2:$S$391,"44531B2BrancaRuralNão se aplicaNão se aplicaNão se aplicaIntermediário",Mercado_Receita!$L$2:$L$391)</f>
        <v>0</v>
      </c>
      <c r="M28" s="13">
        <f>SUMIF(Mercado_Receita!$S$2:$S$391,"44562B2BrancaRuralNão se aplicaNão se aplicaNão se aplicaIntermediário",Mercado_Receita!$L$2:$L$391)</f>
        <v>0</v>
      </c>
      <c r="N28" s="13">
        <f>SUMIF(Mercado_Receita!$S$2:$S$391,"44593B2BrancaRuralNão se aplicaNão se aplicaNão se aplicaIntermediário",Mercado_Receita!$L$2:$L$391)</f>
        <v>0</v>
      </c>
      <c r="O28" s="13">
        <f>SUMIF(Mercado_Receita!$S$2:$S$391,"44621B2BrancaRuralNão se aplicaNão se aplicaNão se aplicaIntermediário",Mercado_Receita!$L$2:$L$391)</f>
        <v>0</v>
      </c>
      <c r="P28" s="13">
        <f>SUMIF(Mercado_Receita!$S$2:$S$391,"44652B2BrancaRuralNão se aplicaNão se aplicaNão se aplicaIntermediário",Mercado_Receita!$L$2:$L$391)</f>
        <v>0</v>
      </c>
      <c r="Q28" s="13">
        <f>SUMIF(Mercado_Receita!$S$2:$S$391,"44682B2BrancaRuralNão se aplicaNão se aplicaNão se aplicaIntermediário",Mercado_Receita!$L$2:$L$391)</f>
        <v>0</v>
      </c>
      <c r="R28" s="13">
        <f>SUMIF(Mercado_Receita!$S$2:$S$391,"44713B2BrancaRuralNão se aplicaNão se aplicaNão se aplicaIntermediário",Mercado_Receita!$L$2:$L$391)</f>
        <v>0</v>
      </c>
      <c r="S28" s="13">
        <f>SUMIF(Mercado_Receita!$S$2:$S$391,"44743B2BrancaRuralNão se aplicaNão se aplicaNão se aplicaIntermediário",Mercado_Receita!$L$2:$L$391)</f>
        <v>0</v>
      </c>
      <c r="T28" s="13">
        <f>SUMIF(Mercado_Receita!$S$2:$S$391,"44774B2BrancaRuralNão se aplicaNão se aplicaNão se aplicaIntermediário",Mercado_Receita!$L$2:$L$391)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8"/>
      <c r="B29" s="78"/>
      <c r="C29" s="78"/>
      <c r="D29" s="78"/>
      <c r="E29" s="78"/>
      <c r="F29" s="78"/>
      <c r="G29" s="13" t="s">
        <v>74</v>
      </c>
      <c r="H29" s="13" t="s">
        <v>72</v>
      </c>
      <c r="I29" s="13">
        <f>SUMIF(Mercado_Receita!$S$2:$S$391,"44440B2BrancaRuralNão se aplicaNão se aplicaNão se aplicaFora ponta",Mercado_Receita!$L$2:$L$391)</f>
        <v>0</v>
      </c>
      <c r="J29" s="13">
        <f>SUMIF(Mercado_Receita!$S$2:$S$391,"44470B2BrancaRuralNão se aplicaNão se aplicaNão se aplicaFora ponta",Mercado_Receita!$L$2:$L$391)</f>
        <v>0</v>
      </c>
      <c r="K29" s="13">
        <f>SUMIF(Mercado_Receita!$S$2:$S$391,"44501B2BrancaRuralNão se aplicaNão se aplicaNão se aplicaFora ponta",Mercado_Receita!$L$2:$L$391)</f>
        <v>0</v>
      </c>
      <c r="L29" s="13">
        <f>SUMIF(Mercado_Receita!$S$2:$S$391,"44531B2BrancaRuralNão se aplicaNão se aplicaNão se aplicaFora ponta",Mercado_Receita!$L$2:$L$391)</f>
        <v>0</v>
      </c>
      <c r="M29" s="13">
        <f>SUMIF(Mercado_Receita!$S$2:$S$391,"44562B2BrancaRuralNão se aplicaNão se aplicaNão se aplicaFora ponta",Mercado_Receita!$L$2:$L$391)</f>
        <v>0</v>
      </c>
      <c r="N29" s="13">
        <f>SUMIF(Mercado_Receita!$S$2:$S$391,"44593B2BrancaRuralNão se aplicaNão se aplicaNão se aplicaFora ponta",Mercado_Receita!$L$2:$L$391)</f>
        <v>0</v>
      </c>
      <c r="O29" s="13">
        <f>SUMIF(Mercado_Receita!$S$2:$S$391,"44621B2BrancaRuralNão se aplicaNão se aplicaNão se aplicaFora ponta",Mercado_Receita!$L$2:$L$391)</f>
        <v>0</v>
      </c>
      <c r="P29" s="13">
        <f>SUMIF(Mercado_Receita!$S$2:$S$391,"44652B2BrancaRuralNão se aplicaNão se aplicaNão se aplicaFora ponta",Mercado_Receita!$L$2:$L$391)</f>
        <v>0</v>
      </c>
      <c r="Q29" s="13">
        <f>SUMIF(Mercado_Receita!$S$2:$S$391,"44682B2BrancaRuralNão se aplicaNão se aplicaNão se aplicaFora ponta",Mercado_Receita!$L$2:$L$391)</f>
        <v>0</v>
      </c>
      <c r="R29" s="13">
        <f>SUMIF(Mercado_Receita!$S$2:$S$391,"44713B2BrancaRuralNão se aplicaNão se aplicaNão se aplicaFora ponta",Mercado_Receita!$L$2:$L$391)</f>
        <v>0</v>
      </c>
      <c r="S29" s="13">
        <f>SUMIF(Mercado_Receita!$S$2:$S$391,"44743B2BrancaRuralNão se aplicaNão se aplicaNão se aplicaFora ponta",Mercado_Receita!$L$2:$L$391)</f>
        <v>0</v>
      </c>
      <c r="T29" s="13">
        <f>SUMIF(Mercado_Receita!$S$2:$S$391,"44774B2BrancaRuralNão se aplicaNão se aplicaNão se aplicaFora ponta",Mercado_Receita!$L$2:$L$391)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8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79</v>
      </c>
      <c r="H30" s="13" t="s">
        <v>72</v>
      </c>
      <c r="I30" s="13">
        <f>SUMIF(Mercado_Receita!$S$2:$S$391,"44440B2ConvencionalRuralNão se aplicaNão se aplicaNão se aplicaPonta",Mercado_Receita!$L$2:$L$391)+SUMIF(Mercado_Receita!$S$2:$S$391,"44440B2ConvencionalRuralNão se aplicaNão se aplicaNão se aplicaFora ponta",Mercado_Receita!$L$2:$L$391)+SUMIF(Mercado_Receita!$S$2:$S$391,"44440B2ConvencionalRuralNão se aplicaNão se aplicaNão se aplicaIntermediário",Mercado_Receita!$L$2:$L$391)+SUMIF(Mercado_Receita!$S$2:$S$391,"44440B2ConvencionalRuralNão se aplicaNão se aplicaNão se aplicaNão se aplica",Mercado_Receita!$L$2:$L$391)</f>
        <v>385.81499999999994</v>
      </c>
      <c r="J30" s="13">
        <f>SUMIF(Mercado_Receita!$S$2:$S$391,"44470B2ConvencionalRuralNão se aplicaNão se aplicaNão se aplicaPonta",Mercado_Receita!$L$2:$L$391)+SUMIF(Mercado_Receita!$S$2:$S$391,"44470B2ConvencionalRuralNão se aplicaNão se aplicaNão se aplicaFora ponta",Mercado_Receita!$L$2:$L$391)+SUMIF(Mercado_Receita!$S$2:$S$391,"44470B2ConvencionalRuralNão se aplicaNão se aplicaNão se aplicaIntermediário",Mercado_Receita!$L$2:$L$391)+SUMIF(Mercado_Receita!$S$2:$S$391,"44470B2ConvencionalRuralNão se aplicaNão se aplicaNão se aplicaNão se aplica",Mercado_Receita!$L$2:$L$391)</f>
        <v>407.18799999999999</v>
      </c>
      <c r="K30" s="13">
        <f>SUMIF(Mercado_Receita!$S$2:$S$391,"44501B2ConvencionalRuralNão se aplicaNão se aplicaNão se aplicaPonta",Mercado_Receita!$L$2:$L$391)+SUMIF(Mercado_Receita!$S$2:$S$391,"44501B2ConvencionalRuralNão se aplicaNão se aplicaNão se aplicaFora ponta",Mercado_Receita!$L$2:$L$391)+SUMIF(Mercado_Receita!$S$2:$S$391,"44501B2ConvencionalRuralNão se aplicaNão se aplicaNão se aplicaIntermediário",Mercado_Receita!$L$2:$L$391)+SUMIF(Mercado_Receita!$S$2:$S$391,"44501B2ConvencionalRuralNão se aplicaNão se aplicaNão se aplicaNão se aplica",Mercado_Receita!$L$2:$L$391)</f>
        <v>536.66999999999996</v>
      </c>
      <c r="L30" s="13">
        <f>SUMIF(Mercado_Receita!$S$2:$S$391,"44531B2ConvencionalRuralNão se aplicaNão se aplicaNão se aplicaPonta",Mercado_Receita!$L$2:$L$391)+SUMIF(Mercado_Receita!$S$2:$S$391,"44531B2ConvencionalRuralNão se aplicaNão se aplicaNão se aplicaFora ponta",Mercado_Receita!$L$2:$L$391)+SUMIF(Mercado_Receita!$S$2:$S$391,"44531B2ConvencionalRuralNão se aplicaNão se aplicaNão se aplicaIntermediário",Mercado_Receita!$L$2:$L$391)+SUMIF(Mercado_Receita!$S$2:$S$391,"44531B2ConvencionalRuralNão se aplicaNão se aplicaNão se aplicaNão se aplica",Mercado_Receita!$L$2:$L$391)</f>
        <v>560.36199999999997</v>
      </c>
      <c r="M30" s="13">
        <f>SUMIF(Mercado_Receita!$S$2:$S$391,"44562B2ConvencionalRuralNão se aplicaNão se aplicaNão se aplicaPonta",Mercado_Receita!$L$2:$L$391)+SUMIF(Mercado_Receita!$S$2:$S$391,"44562B2ConvencionalRuralNão se aplicaNão se aplicaNão se aplicaFora ponta",Mercado_Receita!$L$2:$L$391)+SUMIF(Mercado_Receita!$S$2:$S$391,"44562B2ConvencionalRuralNão se aplicaNão se aplicaNão se aplicaIntermediário",Mercado_Receita!$L$2:$L$391)+SUMIF(Mercado_Receita!$S$2:$S$391,"44562B2ConvencionalRuralNão se aplicaNão se aplicaNão se aplicaNão se aplica",Mercado_Receita!$L$2:$L$391)</f>
        <v>568.30000000000007</v>
      </c>
      <c r="N30" s="13">
        <f>SUMIF(Mercado_Receita!$S$2:$S$391,"44593B2ConvencionalRuralNão se aplicaNão se aplicaNão se aplicaPonta",Mercado_Receita!$L$2:$L$391)+SUMIF(Mercado_Receita!$S$2:$S$391,"44593B2ConvencionalRuralNão se aplicaNão se aplicaNão se aplicaFora ponta",Mercado_Receita!$L$2:$L$391)+SUMIF(Mercado_Receita!$S$2:$S$391,"44593B2ConvencionalRuralNão se aplicaNão se aplicaNão se aplicaIntermediário",Mercado_Receita!$L$2:$L$391)+SUMIF(Mercado_Receita!$S$2:$S$391,"44593B2ConvencionalRuralNão se aplicaNão se aplicaNão se aplicaNão se aplica",Mercado_Receita!$L$2:$L$391)</f>
        <v>545.82599999999991</v>
      </c>
      <c r="O30" s="13">
        <f>SUMIF(Mercado_Receita!$S$2:$S$391,"44621B2ConvencionalRuralNão se aplicaNão se aplicaNão se aplicaPonta",Mercado_Receita!$L$2:$L$391)+SUMIF(Mercado_Receita!$S$2:$S$391,"44621B2ConvencionalRuralNão se aplicaNão se aplicaNão se aplicaFora ponta",Mercado_Receita!$L$2:$L$391)+SUMIF(Mercado_Receita!$S$2:$S$391,"44621B2ConvencionalRuralNão se aplicaNão se aplicaNão se aplicaIntermediário",Mercado_Receita!$L$2:$L$391)+SUMIF(Mercado_Receita!$S$2:$S$391,"44621B2ConvencionalRuralNão se aplicaNão se aplicaNão se aplicaNão se aplica",Mercado_Receita!$L$2:$L$391)</f>
        <v>472.21800000000002</v>
      </c>
      <c r="P30" s="13">
        <f>SUMIF(Mercado_Receita!$S$2:$S$391,"44652B2ConvencionalRuralNão se aplicaNão se aplicaNão se aplicaPonta",Mercado_Receita!$L$2:$L$391)+SUMIF(Mercado_Receita!$S$2:$S$391,"44652B2ConvencionalRuralNão se aplicaNão se aplicaNão se aplicaFora ponta",Mercado_Receita!$L$2:$L$391)+SUMIF(Mercado_Receita!$S$2:$S$391,"44652B2ConvencionalRuralNão se aplicaNão se aplicaNão se aplicaIntermediário",Mercado_Receita!$L$2:$L$391)+SUMIF(Mercado_Receita!$S$2:$S$391,"44652B2ConvencionalRuralNão se aplicaNão se aplicaNão se aplicaNão se aplica",Mercado_Receita!$L$2:$L$391)</f>
        <v>511.79999999999995</v>
      </c>
      <c r="Q30" s="13">
        <f>SUMIF(Mercado_Receita!$S$2:$S$391,"44682B2ConvencionalRuralNão se aplicaNão se aplicaNão se aplicaPonta",Mercado_Receita!$L$2:$L$391)+SUMIF(Mercado_Receita!$S$2:$S$391,"44682B2ConvencionalRuralNão se aplicaNão se aplicaNão se aplicaFora ponta",Mercado_Receita!$L$2:$L$391)+SUMIF(Mercado_Receita!$S$2:$S$391,"44682B2ConvencionalRuralNão se aplicaNão se aplicaNão se aplicaIntermediário",Mercado_Receita!$L$2:$L$391)+SUMIF(Mercado_Receita!$S$2:$S$391,"44682B2ConvencionalRuralNão se aplicaNão se aplicaNão se aplicaNão se aplica",Mercado_Receita!$L$2:$L$391)</f>
        <v>414.07400000000007</v>
      </c>
      <c r="R30" s="13">
        <f>SUMIF(Mercado_Receita!$S$2:$S$391,"44713B2ConvencionalRuralNão se aplicaNão se aplicaNão se aplicaPonta",Mercado_Receita!$L$2:$L$391)+SUMIF(Mercado_Receita!$S$2:$S$391,"44713B2ConvencionalRuralNão se aplicaNão se aplicaNão se aplicaFora ponta",Mercado_Receita!$L$2:$L$391)+SUMIF(Mercado_Receita!$S$2:$S$391,"44713B2ConvencionalRuralNão se aplicaNão se aplicaNão se aplicaIntermediário",Mercado_Receita!$L$2:$L$391)+SUMIF(Mercado_Receita!$S$2:$S$391,"44713B2ConvencionalRuralNão se aplicaNão se aplicaNão se aplicaNão se aplica",Mercado_Receita!$L$2:$L$391)</f>
        <v>394.77000000000004</v>
      </c>
      <c r="S30" s="13">
        <f>SUMIF(Mercado_Receita!$S$2:$S$391,"44743B2ConvencionalRuralNão se aplicaNão se aplicaNão se aplicaPonta",Mercado_Receita!$L$2:$L$391)+SUMIF(Mercado_Receita!$S$2:$S$391,"44743B2ConvencionalRuralNão se aplicaNão se aplicaNão se aplicaFora ponta",Mercado_Receita!$L$2:$L$391)+SUMIF(Mercado_Receita!$S$2:$S$391,"44743B2ConvencionalRuralNão se aplicaNão se aplicaNão se aplicaIntermediário",Mercado_Receita!$L$2:$L$391)+SUMIF(Mercado_Receita!$S$2:$S$391,"44743B2ConvencionalRuralNão se aplicaNão se aplicaNão se aplicaNão se aplica",Mercado_Receita!$L$2:$L$391)</f>
        <v>357.36300000000006</v>
      </c>
      <c r="T30" s="13">
        <f>SUMIF(Mercado_Receita!$S$2:$S$391,"44774B2ConvencionalRuralNão se aplicaNão se aplicaNão se aplicaPonta",Mercado_Receita!$L$2:$L$391)+SUMIF(Mercado_Receita!$S$2:$S$391,"44774B2ConvencionalRuralNão se aplicaNão se aplicaNão se aplicaFora ponta",Mercado_Receita!$L$2:$L$391)+SUMIF(Mercado_Receita!$S$2:$S$391,"44774B2ConvencionalRuralNão se aplicaNão se aplicaNão se aplicaIntermediário",Mercado_Receita!$L$2:$L$391)+SUMIF(Mercado_Receita!$S$2:$S$391,"44774B2ConvencionalRuralNão se aplicaNão se aplicaNão se aplicaNão se aplica",Mercado_Receita!$L$2:$L$391)</f>
        <v>357.36300000000006</v>
      </c>
      <c r="U30" s="13">
        <f t="shared" si="0"/>
        <v>5511.7490000000016</v>
      </c>
      <c r="V30" s="13"/>
      <c r="W30" s="13"/>
    </row>
    <row r="31" spans="1:23" ht="11.25" customHeight="1" x14ac:dyDescent="0.3">
      <c r="A31" s="78"/>
      <c r="B31" s="77" t="s">
        <v>40</v>
      </c>
      <c r="C31" s="77" t="s">
        <v>43</v>
      </c>
      <c r="D31" s="77" t="s">
        <v>89</v>
      </c>
      <c r="E31" s="77" t="s">
        <v>25</v>
      </c>
      <c r="F31" s="77" t="s">
        <v>25</v>
      </c>
      <c r="G31" s="13" t="s">
        <v>73</v>
      </c>
      <c r="H31" s="13" t="s">
        <v>72</v>
      </c>
      <c r="I31" s="13">
        <f>SUMIF(Mercado_Receita!$S$2:$S$391,"44440B2BrancaRuralCooperativa de eletrificação ruralNão se aplicaNão se aplicaPonta",Mercado_Receita!$L$2:$L$391)</f>
        <v>0</v>
      </c>
      <c r="J31" s="13">
        <f>SUMIF(Mercado_Receita!$S$2:$S$391,"44470B2BrancaRuralCooperativa de eletrificação ruralNão se aplicaNão se aplicaPonta",Mercado_Receita!$L$2:$L$391)</f>
        <v>0</v>
      </c>
      <c r="K31" s="13">
        <f>SUMIF(Mercado_Receita!$S$2:$S$391,"44501B2BrancaRuralCooperativa de eletrificação ruralNão se aplicaNão se aplicaPonta",Mercado_Receita!$L$2:$L$391)</f>
        <v>0</v>
      </c>
      <c r="L31" s="13">
        <f>SUMIF(Mercado_Receita!$S$2:$S$391,"44531B2BrancaRuralCooperativa de eletrificação ruralNão se aplicaNão se aplicaPonta",Mercado_Receita!$L$2:$L$391)</f>
        <v>0</v>
      </c>
      <c r="M31" s="13">
        <f>SUMIF(Mercado_Receita!$S$2:$S$391,"44562B2BrancaRuralCooperativa de eletrificação ruralNão se aplicaNão se aplicaPonta",Mercado_Receita!$L$2:$L$391)</f>
        <v>0</v>
      </c>
      <c r="N31" s="13">
        <f>SUMIF(Mercado_Receita!$S$2:$S$391,"44593B2BrancaRuralCooperativa de eletrificação ruralNão se aplicaNão se aplicaPonta",Mercado_Receita!$L$2:$L$391)</f>
        <v>0</v>
      </c>
      <c r="O31" s="13">
        <f>SUMIF(Mercado_Receita!$S$2:$S$391,"44621B2BrancaRuralCooperativa de eletrificação ruralNão se aplicaNão se aplicaPonta",Mercado_Receita!$L$2:$L$391)</f>
        <v>0</v>
      </c>
      <c r="P31" s="13">
        <f>SUMIF(Mercado_Receita!$S$2:$S$391,"44652B2BrancaRuralCooperativa de eletrificação ruralNão se aplicaNão se aplicaPonta",Mercado_Receita!$L$2:$L$391)</f>
        <v>0</v>
      </c>
      <c r="Q31" s="13">
        <f>SUMIF(Mercado_Receita!$S$2:$S$391,"44682B2BrancaRuralCooperativa de eletrificação ruralNão se aplicaNão se aplicaPonta",Mercado_Receita!$L$2:$L$391)</f>
        <v>0</v>
      </c>
      <c r="R31" s="13">
        <f>SUMIF(Mercado_Receita!$S$2:$S$391,"44713B2BrancaRuralCooperativa de eletrificação ruralNão se aplicaNão se aplicaPonta",Mercado_Receita!$L$2:$L$391)</f>
        <v>0</v>
      </c>
      <c r="S31" s="13">
        <f>SUMIF(Mercado_Receita!$S$2:$S$391,"44743B2BrancaRuralCooperativa de eletrificação ruralNão se aplicaNão se aplicaPonta",Mercado_Receita!$L$2:$L$391)</f>
        <v>0</v>
      </c>
      <c r="T31" s="13">
        <f>SUMIF(Mercado_Receita!$S$2:$S$391,"44774B2BrancaRuralCooperativa de eletrificação ruralNão se aplicaNão se aplicaPonta",Mercado_Receita!$L$2:$L$391)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8"/>
      <c r="B32" s="78"/>
      <c r="C32" s="78"/>
      <c r="D32" s="78"/>
      <c r="E32" s="78"/>
      <c r="F32" s="78"/>
      <c r="G32" s="13" t="s">
        <v>85</v>
      </c>
      <c r="H32" s="13" t="s">
        <v>72</v>
      </c>
      <c r="I32" s="13">
        <f>SUMIF(Mercado_Receita!$S$2:$S$391,"44440B2BrancaRuralCooperativa de eletrificação ruralNão se aplicaNão se aplicaIntermediário",Mercado_Receita!$L$2:$L$391)</f>
        <v>0</v>
      </c>
      <c r="J32" s="13">
        <f>SUMIF(Mercado_Receita!$S$2:$S$391,"44470B2BrancaRuralCooperativa de eletrificação ruralNão se aplicaNão se aplicaIntermediário",Mercado_Receita!$L$2:$L$391)</f>
        <v>0</v>
      </c>
      <c r="K32" s="13">
        <f>SUMIF(Mercado_Receita!$S$2:$S$391,"44501B2BrancaRuralCooperativa de eletrificação ruralNão se aplicaNão se aplicaIntermediário",Mercado_Receita!$L$2:$L$391)</f>
        <v>0</v>
      </c>
      <c r="L32" s="13">
        <f>SUMIF(Mercado_Receita!$S$2:$S$391,"44531B2BrancaRuralCooperativa de eletrificação ruralNão se aplicaNão se aplicaIntermediário",Mercado_Receita!$L$2:$L$391)</f>
        <v>0</v>
      </c>
      <c r="M32" s="13">
        <f>SUMIF(Mercado_Receita!$S$2:$S$391,"44562B2BrancaRuralCooperativa de eletrificação ruralNão se aplicaNão se aplicaIntermediário",Mercado_Receita!$L$2:$L$391)</f>
        <v>0</v>
      </c>
      <c r="N32" s="13">
        <f>SUMIF(Mercado_Receita!$S$2:$S$391,"44593B2BrancaRuralCooperativa de eletrificação ruralNão se aplicaNão se aplicaIntermediário",Mercado_Receita!$L$2:$L$391)</f>
        <v>0</v>
      </c>
      <c r="O32" s="13">
        <f>SUMIF(Mercado_Receita!$S$2:$S$391,"44621B2BrancaRuralCooperativa de eletrificação ruralNão se aplicaNão se aplicaIntermediário",Mercado_Receita!$L$2:$L$391)</f>
        <v>0</v>
      </c>
      <c r="P32" s="13">
        <f>SUMIF(Mercado_Receita!$S$2:$S$391,"44652B2BrancaRuralCooperativa de eletrificação ruralNão se aplicaNão se aplicaIntermediário",Mercado_Receita!$L$2:$L$391)</f>
        <v>0</v>
      </c>
      <c r="Q32" s="13">
        <f>SUMIF(Mercado_Receita!$S$2:$S$391,"44682B2BrancaRuralCooperativa de eletrificação ruralNão se aplicaNão se aplicaIntermediário",Mercado_Receita!$L$2:$L$391)</f>
        <v>0</v>
      </c>
      <c r="R32" s="13">
        <f>SUMIF(Mercado_Receita!$S$2:$S$391,"44713B2BrancaRuralCooperativa de eletrificação ruralNão se aplicaNão se aplicaIntermediário",Mercado_Receita!$L$2:$L$391)</f>
        <v>0</v>
      </c>
      <c r="S32" s="13">
        <f>SUMIF(Mercado_Receita!$S$2:$S$391,"44743B2BrancaRuralCooperativa de eletrificação ruralNão se aplicaNão se aplicaIntermediário",Mercado_Receita!$L$2:$L$391)</f>
        <v>0</v>
      </c>
      <c r="T32" s="13">
        <f>SUMIF(Mercado_Receita!$S$2:$S$391,"44774B2BrancaRuralCooperativa de eletrificação ruralNão se aplicaNão se aplicaIntermediário",Mercado_Receita!$L$2:$L$391)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8"/>
      <c r="B33" s="78"/>
      <c r="C33" s="78"/>
      <c r="D33" s="78"/>
      <c r="E33" s="78"/>
      <c r="F33" s="78"/>
      <c r="G33" s="13" t="s">
        <v>74</v>
      </c>
      <c r="H33" s="13" t="s">
        <v>72</v>
      </c>
      <c r="I33" s="13">
        <f>SUMIF(Mercado_Receita!$S$2:$S$391,"44440B2BrancaRuralCooperativa de eletrificação ruralNão se aplicaNão se aplicaFora ponta",Mercado_Receita!$L$2:$L$391)</f>
        <v>0</v>
      </c>
      <c r="J33" s="13">
        <f>SUMIF(Mercado_Receita!$S$2:$S$391,"44470B2BrancaRuralCooperativa de eletrificação ruralNão se aplicaNão se aplicaFora ponta",Mercado_Receita!$L$2:$L$391)</f>
        <v>0</v>
      </c>
      <c r="K33" s="13">
        <f>SUMIF(Mercado_Receita!$S$2:$S$391,"44501B2BrancaRuralCooperativa de eletrificação ruralNão se aplicaNão se aplicaFora ponta",Mercado_Receita!$L$2:$L$391)</f>
        <v>0</v>
      </c>
      <c r="L33" s="13">
        <f>SUMIF(Mercado_Receita!$S$2:$S$391,"44531B2BrancaRuralCooperativa de eletrificação ruralNão se aplicaNão se aplicaFora ponta",Mercado_Receita!$L$2:$L$391)</f>
        <v>0</v>
      </c>
      <c r="M33" s="13">
        <f>SUMIF(Mercado_Receita!$S$2:$S$391,"44562B2BrancaRuralCooperativa de eletrificação ruralNão se aplicaNão se aplicaFora ponta",Mercado_Receita!$L$2:$L$391)</f>
        <v>0</v>
      </c>
      <c r="N33" s="13">
        <f>SUMIF(Mercado_Receita!$S$2:$S$391,"44593B2BrancaRuralCooperativa de eletrificação ruralNão se aplicaNão se aplicaFora ponta",Mercado_Receita!$L$2:$L$391)</f>
        <v>0</v>
      </c>
      <c r="O33" s="13">
        <f>SUMIF(Mercado_Receita!$S$2:$S$391,"44621B2BrancaRuralCooperativa de eletrificação ruralNão se aplicaNão se aplicaFora ponta",Mercado_Receita!$L$2:$L$391)</f>
        <v>0</v>
      </c>
      <c r="P33" s="13">
        <f>SUMIF(Mercado_Receita!$S$2:$S$391,"44652B2BrancaRuralCooperativa de eletrificação ruralNão se aplicaNão se aplicaFora ponta",Mercado_Receita!$L$2:$L$391)</f>
        <v>0</v>
      </c>
      <c r="Q33" s="13">
        <f>SUMIF(Mercado_Receita!$S$2:$S$391,"44682B2BrancaRuralCooperativa de eletrificação ruralNão se aplicaNão se aplicaFora ponta",Mercado_Receita!$L$2:$L$391)</f>
        <v>0</v>
      </c>
      <c r="R33" s="13">
        <f>SUMIF(Mercado_Receita!$S$2:$S$391,"44713B2BrancaRuralCooperativa de eletrificação ruralNão se aplicaNão se aplicaFora ponta",Mercado_Receita!$L$2:$L$391)</f>
        <v>0</v>
      </c>
      <c r="S33" s="13">
        <f>SUMIF(Mercado_Receita!$S$2:$S$391,"44743B2BrancaRuralCooperativa de eletrificação ruralNão se aplicaNão se aplicaFora ponta",Mercado_Receita!$L$2:$L$391)</f>
        <v>0</v>
      </c>
      <c r="T33" s="13">
        <f>SUMIF(Mercado_Receita!$S$2:$S$391,"44774B2BrancaRuralCooperativa de eletrificação ruralNão se aplicaNão se aplicaFora ponta",Mercado_Receita!$L$2:$L$391)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78"/>
      <c r="B34" s="12" t="s">
        <v>23</v>
      </c>
      <c r="C34" s="12" t="s">
        <v>43</v>
      </c>
      <c r="D34" s="12" t="s">
        <v>89</v>
      </c>
      <c r="E34" s="12" t="s">
        <v>25</v>
      </c>
      <c r="F34" s="12" t="s">
        <v>25</v>
      </c>
      <c r="G34" s="13" t="s">
        <v>79</v>
      </c>
      <c r="H34" s="13" t="s">
        <v>72</v>
      </c>
      <c r="I34" s="13">
        <f>SUMIF(Mercado_Receita!$S$2:$S$391,"44440B2ConvencionalRuralCooperativa de eletrificação ruralNão se aplicaNão se aplicaPonta",Mercado_Receita!$L$2:$L$391)+SUMIF(Mercado_Receita!$S$2:$S$391,"44440B2ConvencionalRuralCooperativa de eletrificação ruralNão se aplicaNão se aplicaFora ponta",Mercado_Receita!$L$2:$L$391)+SUMIF(Mercado_Receita!$S$2:$S$391,"44440B2ConvencionalRuralCooperativa de eletrificação ruralNão se aplicaNão se aplicaIntermediário",Mercado_Receita!$L$2:$L$391)+SUMIF(Mercado_Receita!$S$2:$S$391,"44440B2ConvencionalRuralCooperativa de eletrificação ruralNão se aplicaNão se aplicaNão se aplica",Mercado_Receita!$L$2:$L$391)</f>
        <v>0</v>
      </c>
      <c r="J34" s="13">
        <f>SUMIF(Mercado_Receita!$S$2:$S$391,"44470B2ConvencionalRuralCooperativa de eletrificação ruralNão se aplicaNão se aplicaPonta",Mercado_Receita!$L$2:$L$391)+SUMIF(Mercado_Receita!$S$2:$S$391,"44470B2ConvencionalRuralCooperativa de eletrificação ruralNão se aplicaNão se aplicaFora ponta",Mercado_Receita!$L$2:$L$391)+SUMIF(Mercado_Receita!$S$2:$S$391,"44470B2ConvencionalRuralCooperativa de eletrificação ruralNão se aplicaNão se aplicaIntermediário",Mercado_Receita!$L$2:$L$391)+SUMIF(Mercado_Receita!$S$2:$S$391,"44470B2ConvencionalRuralCooperativa de eletrificação ruralNão se aplicaNão se aplicaNão se aplica",Mercado_Receita!$L$2:$L$391)</f>
        <v>0</v>
      </c>
      <c r="K34" s="13">
        <f>SUMIF(Mercado_Receita!$S$2:$S$391,"44501B2ConvencionalRuralCooperativa de eletrificação ruralNão se aplicaNão se aplicaPonta",Mercado_Receita!$L$2:$L$391)+SUMIF(Mercado_Receita!$S$2:$S$391,"44501B2ConvencionalRuralCooperativa de eletrificação ruralNão se aplicaNão se aplicaFora ponta",Mercado_Receita!$L$2:$L$391)+SUMIF(Mercado_Receita!$S$2:$S$391,"44501B2ConvencionalRuralCooperativa de eletrificação ruralNão se aplicaNão se aplicaIntermediário",Mercado_Receita!$L$2:$L$391)+SUMIF(Mercado_Receita!$S$2:$S$391,"44501B2ConvencionalRuralCooperativa de eletrificação ruralNão se aplicaNão se aplicaNão se aplica",Mercado_Receita!$L$2:$L$391)</f>
        <v>0</v>
      </c>
      <c r="L34" s="13">
        <f>SUMIF(Mercado_Receita!$S$2:$S$391,"44531B2ConvencionalRuralCooperativa de eletrificação ruralNão se aplicaNão se aplicaPonta",Mercado_Receita!$L$2:$L$391)+SUMIF(Mercado_Receita!$S$2:$S$391,"44531B2ConvencionalRuralCooperativa de eletrificação ruralNão se aplicaNão se aplicaFora ponta",Mercado_Receita!$L$2:$L$391)+SUMIF(Mercado_Receita!$S$2:$S$391,"44531B2ConvencionalRuralCooperativa de eletrificação ruralNão se aplicaNão se aplicaIntermediário",Mercado_Receita!$L$2:$L$391)+SUMIF(Mercado_Receita!$S$2:$S$391,"44531B2ConvencionalRuralCooperativa de eletrificação ruralNão se aplicaNão se aplicaNão se aplica",Mercado_Receita!$L$2:$L$391)</f>
        <v>0</v>
      </c>
      <c r="M34" s="13">
        <f>SUMIF(Mercado_Receita!$S$2:$S$391,"44562B2ConvencionalRuralCooperativa de eletrificação ruralNão se aplicaNão se aplicaPonta",Mercado_Receita!$L$2:$L$391)+SUMIF(Mercado_Receita!$S$2:$S$391,"44562B2ConvencionalRuralCooperativa de eletrificação ruralNão se aplicaNão se aplicaFora ponta",Mercado_Receita!$L$2:$L$391)+SUMIF(Mercado_Receita!$S$2:$S$391,"44562B2ConvencionalRuralCooperativa de eletrificação ruralNão se aplicaNão se aplicaIntermediário",Mercado_Receita!$L$2:$L$391)+SUMIF(Mercado_Receita!$S$2:$S$391,"44562B2ConvencionalRuralCooperativa de eletrificação ruralNão se aplicaNão se aplicaNão se aplica",Mercado_Receita!$L$2:$L$391)</f>
        <v>0</v>
      </c>
      <c r="N34" s="13">
        <f>SUMIF(Mercado_Receita!$S$2:$S$391,"44593B2ConvencionalRuralCooperativa de eletrificação ruralNão se aplicaNão se aplicaPonta",Mercado_Receita!$L$2:$L$391)+SUMIF(Mercado_Receita!$S$2:$S$391,"44593B2ConvencionalRuralCooperativa de eletrificação ruralNão se aplicaNão se aplicaFora ponta",Mercado_Receita!$L$2:$L$391)+SUMIF(Mercado_Receita!$S$2:$S$391,"44593B2ConvencionalRuralCooperativa de eletrificação ruralNão se aplicaNão se aplicaIntermediário",Mercado_Receita!$L$2:$L$391)+SUMIF(Mercado_Receita!$S$2:$S$391,"44593B2ConvencionalRuralCooperativa de eletrificação ruralNão se aplicaNão se aplicaNão se aplica",Mercado_Receita!$L$2:$L$391)</f>
        <v>0</v>
      </c>
      <c r="O34" s="13">
        <f>SUMIF(Mercado_Receita!$S$2:$S$391,"44621B2ConvencionalRuralCooperativa de eletrificação ruralNão se aplicaNão se aplicaPonta",Mercado_Receita!$L$2:$L$391)+SUMIF(Mercado_Receita!$S$2:$S$391,"44621B2ConvencionalRuralCooperativa de eletrificação ruralNão se aplicaNão se aplicaFora ponta",Mercado_Receita!$L$2:$L$391)+SUMIF(Mercado_Receita!$S$2:$S$391,"44621B2ConvencionalRuralCooperativa de eletrificação ruralNão se aplicaNão se aplicaIntermediário",Mercado_Receita!$L$2:$L$391)+SUMIF(Mercado_Receita!$S$2:$S$391,"44621B2ConvencionalRuralCooperativa de eletrificação ruralNão se aplicaNão se aplicaNão se aplica",Mercado_Receita!$L$2:$L$391)</f>
        <v>0</v>
      </c>
      <c r="P34" s="13">
        <f>SUMIF(Mercado_Receita!$S$2:$S$391,"44652B2ConvencionalRuralCooperativa de eletrificação ruralNão se aplicaNão se aplicaPonta",Mercado_Receita!$L$2:$L$391)+SUMIF(Mercado_Receita!$S$2:$S$391,"44652B2ConvencionalRuralCooperativa de eletrificação ruralNão se aplicaNão se aplicaFora ponta",Mercado_Receita!$L$2:$L$391)+SUMIF(Mercado_Receita!$S$2:$S$391,"44652B2ConvencionalRuralCooperativa de eletrificação ruralNão se aplicaNão se aplicaIntermediário",Mercado_Receita!$L$2:$L$391)+SUMIF(Mercado_Receita!$S$2:$S$391,"44652B2ConvencionalRuralCooperativa de eletrificação ruralNão se aplicaNão se aplicaNão se aplica",Mercado_Receita!$L$2:$L$391)</f>
        <v>0</v>
      </c>
      <c r="Q34" s="13">
        <f>SUMIF(Mercado_Receita!$S$2:$S$391,"44682B2ConvencionalRuralCooperativa de eletrificação ruralNão se aplicaNão se aplicaPonta",Mercado_Receita!$L$2:$L$391)+SUMIF(Mercado_Receita!$S$2:$S$391,"44682B2ConvencionalRuralCooperativa de eletrificação ruralNão se aplicaNão se aplicaFora ponta",Mercado_Receita!$L$2:$L$391)+SUMIF(Mercado_Receita!$S$2:$S$391,"44682B2ConvencionalRuralCooperativa de eletrificação ruralNão se aplicaNão se aplicaIntermediário",Mercado_Receita!$L$2:$L$391)+SUMIF(Mercado_Receita!$S$2:$S$391,"44682B2ConvencionalRuralCooperativa de eletrificação ruralNão se aplicaNão se aplicaNão se aplica",Mercado_Receita!$L$2:$L$391)</f>
        <v>0</v>
      </c>
      <c r="R34" s="13">
        <f>SUMIF(Mercado_Receita!$S$2:$S$391,"44713B2ConvencionalRuralCooperativa de eletrificação ruralNão se aplicaNão se aplicaPonta",Mercado_Receita!$L$2:$L$391)+SUMIF(Mercado_Receita!$S$2:$S$391,"44713B2ConvencionalRuralCooperativa de eletrificação ruralNão se aplicaNão se aplicaFora ponta",Mercado_Receita!$L$2:$L$391)+SUMIF(Mercado_Receita!$S$2:$S$391,"44713B2ConvencionalRuralCooperativa de eletrificação ruralNão se aplicaNão se aplicaIntermediário",Mercado_Receita!$L$2:$L$391)+SUMIF(Mercado_Receita!$S$2:$S$391,"44713B2ConvencionalRuralCooperativa de eletrificação ruralNão se aplicaNão se aplicaNão se aplica",Mercado_Receita!$L$2:$L$391)</f>
        <v>0</v>
      </c>
      <c r="S34" s="13">
        <f>SUMIF(Mercado_Receita!$S$2:$S$391,"44743B2ConvencionalRuralCooperativa de eletrificação ruralNão se aplicaNão se aplicaPonta",Mercado_Receita!$L$2:$L$391)+SUMIF(Mercado_Receita!$S$2:$S$391,"44743B2ConvencionalRuralCooperativa de eletrificação ruralNão se aplicaNão se aplicaFora ponta",Mercado_Receita!$L$2:$L$391)+SUMIF(Mercado_Receita!$S$2:$S$391,"44743B2ConvencionalRuralCooperativa de eletrificação ruralNão se aplicaNão se aplicaIntermediário",Mercado_Receita!$L$2:$L$391)+SUMIF(Mercado_Receita!$S$2:$S$391,"44743B2ConvencionalRuralCooperativa de eletrificação ruralNão se aplicaNão se aplicaNão se aplica",Mercado_Receita!$L$2:$L$391)</f>
        <v>0</v>
      </c>
      <c r="T34" s="13">
        <f>SUMIF(Mercado_Receita!$S$2:$S$391,"44774B2ConvencionalRuralCooperativa de eletrificação ruralNão se aplicaNão se aplicaPonta",Mercado_Receita!$L$2:$L$391)+SUMIF(Mercado_Receita!$S$2:$S$391,"44774B2ConvencionalRuralCooperativa de eletrificação ruralNão se aplicaNão se aplicaFora ponta",Mercado_Receita!$L$2:$L$391)+SUMIF(Mercado_Receita!$S$2:$S$391,"44774B2ConvencionalRuralCooperativa de eletrificação ruralNão se aplicaNão se aplicaIntermediário",Mercado_Receita!$L$2:$L$391)+SUMIF(Mercado_Receita!$S$2:$S$391,"44774B2ConvencionalRuralCooperativa de eletrificação ruralNão se aplicaNão se aplicaNão se aplica",Mercado_Receita!$L$2:$L$391)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78"/>
      <c r="B35" s="77" t="s">
        <v>40</v>
      </c>
      <c r="C35" s="77" t="s">
        <v>43</v>
      </c>
      <c r="D35" s="77" t="s">
        <v>90</v>
      </c>
      <c r="E35" s="77" t="s">
        <v>25</v>
      </c>
      <c r="F35" s="77" t="s">
        <v>25</v>
      </c>
      <c r="G35" s="13" t="s">
        <v>73</v>
      </c>
      <c r="H35" s="13" t="s">
        <v>72</v>
      </c>
      <c r="I35" s="13">
        <f>SUMIF(Mercado_Receita!$S$2:$S$391,"44440B2BrancaRuralServiço público de irrigação ruralNão se aplicaNão se aplicaPonta",Mercado_Receita!$L$2:$L$391)</f>
        <v>0</v>
      </c>
      <c r="J35" s="13">
        <f>SUMIF(Mercado_Receita!$S$2:$S$391,"44470B2BrancaRuralServiço público de irrigação ruralNão se aplicaNão se aplicaPonta",Mercado_Receita!$L$2:$L$391)</f>
        <v>0</v>
      </c>
      <c r="K35" s="13">
        <f>SUMIF(Mercado_Receita!$S$2:$S$391,"44501B2BrancaRuralServiço público de irrigação ruralNão se aplicaNão se aplicaPonta",Mercado_Receita!$L$2:$L$391)</f>
        <v>0</v>
      </c>
      <c r="L35" s="13">
        <f>SUMIF(Mercado_Receita!$S$2:$S$391,"44531B2BrancaRuralServiço público de irrigação ruralNão se aplicaNão se aplicaPonta",Mercado_Receita!$L$2:$L$391)</f>
        <v>0</v>
      </c>
      <c r="M35" s="13">
        <f>SUMIF(Mercado_Receita!$S$2:$S$391,"44562B2BrancaRuralServiço público de irrigação ruralNão se aplicaNão se aplicaPonta",Mercado_Receita!$L$2:$L$391)</f>
        <v>0</v>
      </c>
      <c r="N35" s="13">
        <f>SUMIF(Mercado_Receita!$S$2:$S$391,"44593B2BrancaRuralServiço público de irrigação ruralNão se aplicaNão se aplicaPonta",Mercado_Receita!$L$2:$L$391)</f>
        <v>0</v>
      </c>
      <c r="O35" s="13">
        <f>SUMIF(Mercado_Receita!$S$2:$S$391,"44621B2BrancaRuralServiço público de irrigação ruralNão se aplicaNão se aplicaPonta",Mercado_Receita!$L$2:$L$391)</f>
        <v>0</v>
      </c>
      <c r="P35" s="13">
        <f>SUMIF(Mercado_Receita!$S$2:$S$391,"44652B2BrancaRuralServiço público de irrigação ruralNão se aplicaNão se aplicaPonta",Mercado_Receita!$L$2:$L$391)</f>
        <v>0</v>
      </c>
      <c r="Q35" s="13">
        <f>SUMIF(Mercado_Receita!$S$2:$S$391,"44682B2BrancaRuralServiço público de irrigação ruralNão se aplicaNão se aplicaPonta",Mercado_Receita!$L$2:$L$391)</f>
        <v>0</v>
      </c>
      <c r="R35" s="13">
        <f>SUMIF(Mercado_Receita!$S$2:$S$391,"44713B2BrancaRuralServiço público de irrigação ruralNão se aplicaNão se aplicaPonta",Mercado_Receita!$L$2:$L$391)</f>
        <v>0</v>
      </c>
      <c r="S35" s="13">
        <f>SUMIF(Mercado_Receita!$S$2:$S$391,"44743B2BrancaRuralServiço público de irrigação ruralNão se aplicaNão se aplicaPonta",Mercado_Receita!$L$2:$L$391)</f>
        <v>0</v>
      </c>
      <c r="T35" s="13">
        <f>SUMIF(Mercado_Receita!$S$2:$S$391,"44774B2BrancaRuralServiço público de irrigação ruralNão se aplicaNão se aplicaPonta",Mercado_Receita!$L$2:$L$391)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78"/>
      <c r="B36" s="78"/>
      <c r="C36" s="78"/>
      <c r="D36" s="78"/>
      <c r="E36" s="78"/>
      <c r="F36" s="78"/>
      <c r="G36" s="13" t="s">
        <v>85</v>
      </c>
      <c r="H36" s="13" t="s">
        <v>72</v>
      </c>
      <c r="I36" s="13">
        <f>SUMIF(Mercado_Receita!$S$2:$S$391,"44440B2BrancaRuralServiço público de irrigação ruralNão se aplicaNão se aplicaIntermediário",Mercado_Receita!$L$2:$L$391)</f>
        <v>0</v>
      </c>
      <c r="J36" s="13">
        <f>SUMIF(Mercado_Receita!$S$2:$S$391,"44470B2BrancaRuralServiço público de irrigação ruralNão se aplicaNão se aplicaIntermediário",Mercado_Receita!$L$2:$L$391)</f>
        <v>0</v>
      </c>
      <c r="K36" s="13">
        <f>SUMIF(Mercado_Receita!$S$2:$S$391,"44501B2BrancaRuralServiço público de irrigação ruralNão se aplicaNão se aplicaIntermediário",Mercado_Receita!$L$2:$L$391)</f>
        <v>0</v>
      </c>
      <c r="L36" s="13">
        <f>SUMIF(Mercado_Receita!$S$2:$S$391,"44531B2BrancaRuralServiço público de irrigação ruralNão se aplicaNão se aplicaIntermediário",Mercado_Receita!$L$2:$L$391)</f>
        <v>0</v>
      </c>
      <c r="M36" s="13">
        <f>SUMIF(Mercado_Receita!$S$2:$S$391,"44562B2BrancaRuralServiço público de irrigação ruralNão se aplicaNão se aplicaIntermediário",Mercado_Receita!$L$2:$L$391)</f>
        <v>0</v>
      </c>
      <c r="N36" s="13">
        <f>SUMIF(Mercado_Receita!$S$2:$S$391,"44593B2BrancaRuralServiço público de irrigação ruralNão se aplicaNão se aplicaIntermediário",Mercado_Receita!$L$2:$L$391)</f>
        <v>0</v>
      </c>
      <c r="O36" s="13">
        <f>SUMIF(Mercado_Receita!$S$2:$S$391,"44621B2BrancaRuralServiço público de irrigação ruralNão se aplicaNão se aplicaIntermediário",Mercado_Receita!$L$2:$L$391)</f>
        <v>0</v>
      </c>
      <c r="P36" s="13">
        <f>SUMIF(Mercado_Receita!$S$2:$S$391,"44652B2BrancaRuralServiço público de irrigação ruralNão se aplicaNão se aplicaIntermediário",Mercado_Receita!$L$2:$L$391)</f>
        <v>0</v>
      </c>
      <c r="Q36" s="13">
        <f>SUMIF(Mercado_Receita!$S$2:$S$391,"44682B2BrancaRuralServiço público de irrigação ruralNão se aplicaNão se aplicaIntermediário",Mercado_Receita!$L$2:$L$391)</f>
        <v>0</v>
      </c>
      <c r="R36" s="13">
        <f>SUMIF(Mercado_Receita!$S$2:$S$391,"44713B2BrancaRuralServiço público de irrigação ruralNão se aplicaNão se aplicaIntermediário",Mercado_Receita!$L$2:$L$391)</f>
        <v>0</v>
      </c>
      <c r="S36" s="13">
        <f>SUMIF(Mercado_Receita!$S$2:$S$391,"44743B2BrancaRuralServiço público de irrigação ruralNão se aplicaNão se aplicaIntermediário",Mercado_Receita!$L$2:$L$391)</f>
        <v>0</v>
      </c>
      <c r="T36" s="13">
        <f>SUMIF(Mercado_Receita!$S$2:$S$391,"44774B2BrancaRuralServiço público de irrigação ruralNão se aplicaNão se aplicaIntermediário",Mercado_Receita!$L$2:$L$391)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8"/>
      <c r="B37" s="78"/>
      <c r="C37" s="78"/>
      <c r="D37" s="78"/>
      <c r="E37" s="78"/>
      <c r="F37" s="78"/>
      <c r="G37" s="13" t="s">
        <v>74</v>
      </c>
      <c r="H37" s="13" t="s">
        <v>72</v>
      </c>
      <c r="I37" s="13">
        <f>SUMIF(Mercado_Receita!$S$2:$S$391,"44440B2BrancaRuralServiço público de irrigação ruralNão se aplicaNão se aplicaFora ponta",Mercado_Receita!$L$2:$L$391)</f>
        <v>0</v>
      </c>
      <c r="J37" s="13">
        <f>SUMIF(Mercado_Receita!$S$2:$S$391,"44470B2BrancaRuralServiço público de irrigação ruralNão se aplicaNão se aplicaFora ponta",Mercado_Receita!$L$2:$L$391)</f>
        <v>0</v>
      </c>
      <c r="K37" s="13">
        <f>SUMIF(Mercado_Receita!$S$2:$S$391,"44501B2BrancaRuralServiço público de irrigação ruralNão se aplicaNão se aplicaFora ponta",Mercado_Receita!$L$2:$L$391)</f>
        <v>0</v>
      </c>
      <c r="L37" s="13">
        <f>SUMIF(Mercado_Receita!$S$2:$S$391,"44531B2BrancaRuralServiço público de irrigação ruralNão se aplicaNão se aplicaFora ponta",Mercado_Receita!$L$2:$L$391)</f>
        <v>0</v>
      </c>
      <c r="M37" s="13">
        <f>SUMIF(Mercado_Receita!$S$2:$S$391,"44562B2BrancaRuralServiço público de irrigação ruralNão se aplicaNão se aplicaFora ponta",Mercado_Receita!$L$2:$L$391)</f>
        <v>0</v>
      </c>
      <c r="N37" s="13">
        <f>SUMIF(Mercado_Receita!$S$2:$S$391,"44593B2BrancaRuralServiço público de irrigação ruralNão se aplicaNão se aplicaFora ponta",Mercado_Receita!$L$2:$L$391)</f>
        <v>0</v>
      </c>
      <c r="O37" s="13">
        <f>SUMIF(Mercado_Receita!$S$2:$S$391,"44621B2BrancaRuralServiço público de irrigação ruralNão se aplicaNão se aplicaFora ponta",Mercado_Receita!$L$2:$L$391)</f>
        <v>0</v>
      </c>
      <c r="P37" s="13">
        <f>SUMIF(Mercado_Receita!$S$2:$S$391,"44652B2BrancaRuralServiço público de irrigação ruralNão se aplicaNão se aplicaFora ponta",Mercado_Receita!$L$2:$L$391)</f>
        <v>0</v>
      </c>
      <c r="Q37" s="13">
        <f>SUMIF(Mercado_Receita!$S$2:$S$391,"44682B2BrancaRuralServiço público de irrigação ruralNão se aplicaNão se aplicaFora ponta",Mercado_Receita!$L$2:$L$391)</f>
        <v>0</v>
      </c>
      <c r="R37" s="13">
        <f>SUMIF(Mercado_Receita!$S$2:$S$391,"44713B2BrancaRuralServiço público de irrigação ruralNão se aplicaNão se aplicaFora ponta",Mercado_Receita!$L$2:$L$391)</f>
        <v>0</v>
      </c>
      <c r="S37" s="13">
        <f>SUMIF(Mercado_Receita!$S$2:$S$391,"44743B2BrancaRuralServiço público de irrigação ruralNão se aplicaNão se aplicaFora ponta",Mercado_Receita!$L$2:$L$391)</f>
        <v>0</v>
      </c>
      <c r="T37" s="13">
        <f>SUMIF(Mercado_Receita!$S$2:$S$391,"44774B2BrancaRuralServiço público de irrigação ruralNão se aplicaNão se aplicaFora ponta",Mercado_Receita!$L$2:$L$391)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8"/>
      <c r="B38" s="12" t="s">
        <v>23</v>
      </c>
      <c r="C38" s="12" t="s">
        <v>43</v>
      </c>
      <c r="D38" s="12" t="s">
        <v>90</v>
      </c>
      <c r="E38" s="12" t="s">
        <v>25</v>
      </c>
      <c r="F38" s="12" t="s">
        <v>25</v>
      </c>
      <c r="G38" s="13" t="s">
        <v>79</v>
      </c>
      <c r="H38" s="13" t="s">
        <v>72</v>
      </c>
      <c r="I38" s="13">
        <f>SUMIF(Mercado_Receita!$S$2:$S$391,"44440B2ConvencionalRuralServiço público de irrigação ruralNão se aplicaNão se aplicaPonta",Mercado_Receita!$L$2:$L$391)+SUMIF(Mercado_Receita!$S$2:$S$391,"44440B2ConvencionalRuralServiço público de irrigação ruralNão se aplicaNão se aplicaFora ponta",Mercado_Receita!$L$2:$L$391)+SUMIF(Mercado_Receita!$S$2:$S$391,"44440B2ConvencionalRuralServiço público de irrigação ruralNão se aplicaNão se aplicaIntermediário",Mercado_Receita!$L$2:$L$391)+SUMIF(Mercado_Receita!$S$2:$S$391,"44440B2ConvencionalRuralServiço público de irrigação ruralNão se aplicaNão se aplicaNão se aplica",Mercado_Receita!$L$2:$L$391)</f>
        <v>0</v>
      </c>
      <c r="J38" s="13">
        <f>SUMIF(Mercado_Receita!$S$2:$S$391,"44470B2ConvencionalRuralServiço público de irrigação ruralNão se aplicaNão se aplicaPonta",Mercado_Receita!$L$2:$L$391)+SUMIF(Mercado_Receita!$S$2:$S$391,"44470B2ConvencionalRuralServiço público de irrigação ruralNão se aplicaNão se aplicaFora ponta",Mercado_Receita!$L$2:$L$391)+SUMIF(Mercado_Receita!$S$2:$S$391,"44470B2ConvencionalRuralServiço público de irrigação ruralNão se aplicaNão se aplicaIntermediário",Mercado_Receita!$L$2:$L$391)+SUMIF(Mercado_Receita!$S$2:$S$391,"44470B2ConvencionalRuralServiço público de irrigação ruralNão se aplicaNão se aplicaNão se aplica",Mercado_Receita!$L$2:$L$391)</f>
        <v>0</v>
      </c>
      <c r="K38" s="13">
        <f>SUMIF(Mercado_Receita!$S$2:$S$391,"44501B2ConvencionalRuralServiço público de irrigação ruralNão se aplicaNão se aplicaPonta",Mercado_Receita!$L$2:$L$391)+SUMIF(Mercado_Receita!$S$2:$S$391,"44501B2ConvencionalRuralServiço público de irrigação ruralNão se aplicaNão se aplicaFora ponta",Mercado_Receita!$L$2:$L$391)+SUMIF(Mercado_Receita!$S$2:$S$391,"44501B2ConvencionalRuralServiço público de irrigação ruralNão se aplicaNão se aplicaIntermediário",Mercado_Receita!$L$2:$L$391)+SUMIF(Mercado_Receita!$S$2:$S$391,"44501B2ConvencionalRuralServiço público de irrigação ruralNão se aplicaNão se aplicaNão se aplica",Mercado_Receita!$L$2:$L$391)</f>
        <v>0</v>
      </c>
      <c r="L38" s="13">
        <f>SUMIF(Mercado_Receita!$S$2:$S$391,"44531B2ConvencionalRuralServiço público de irrigação ruralNão se aplicaNão se aplicaPonta",Mercado_Receita!$L$2:$L$391)+SUMIF(Mercado_Receita!$S$2:$S$391,"44531B2ConvencionalRuralServiço público de irrigação ruralNão se aplicaNão se aplicaFora ponta",Mercado_Receita!$L$2:$L$391)+SUMIF(Mercado_Receita!$S$2:$S$391,"44531B2ConvencionalRuralServiço público de irrigação ruralNão se aplicaNão se aplicaIntermediário",Mercado_Receita!$L$2:$L$391)+SUMIF(Mercado_Receita!$S$2:$S$391,"44531B2ConvencionalRuralServiço público de irrigação ruralNão se aplicaNão se aplicaNão se aplica",Mercado_Receita!$L$2:$L$391)</f>
        <v>0</v>
      </c>
      <c r="M38" s="13">
        <f>SUMIF(Mercado_Receita!$S$2:$S$391,"44562B2ConvencionalRuralServiço público de irrigação ruralNão se aplicaNão se aplicaPonta",Mercado_Receita!$L$2:$L$391)+SUMIF(Mercado_Receita!$S$2:$S$391,"44562B2ConvencionalRuralServiço público de irrigação ruralNão se aplicaNão se aplicaFora ponta",Mercado_Receita!$L$2:$L$391)+SUMIF(Mercado_Receita!$S$2:$S$391,"44562B2ConvencionalRuralServiço público de irrigação ruralNão se aplicaNão se aplicaIntermediário",Mercado_Receita!$L$2:$L$391)+SUMIF(Mercado_Receita!$S$2:$S$391,"44562B2ConvencionalRuralServiço público de irrigação ruralNão se aplicaNão se aplicaNão se aplica",Mercado_Receita!$L$2:$L$391)</f>
        <v>0</v>
      </c>
      <c r="N38" s="13">
        <f>SUMIF(Mercado_Receita!$S$2:$S$391,"44593B2ConvencionalRuralServiço público de irrigação ruralNão se aplicaNão se aplicaPonta",Mercado_Receita!$L$2:$L$391)+SUMIF(Mercado_Receita!$S$2:$S$391,"44593B2ConvencionalRuralServiço público de irrigação ruralNão se aplicaNão se aplicaFora ponta",Mercado_Receita!$L$2:$L$391)+SUMIF(Mercado_Receita!$S$2:$S$391,"44593B2ConvencionalRuralServiço público de irrigação ruralNão se aplicaNão se aplicaIntermediário",Mercado_Receita!$L$2:$L$391)+SUMIF(Mercado_Receita!$S$2:$S$391,"44593B2ConvencionalRuralServiço público de irrigação ruralNão se aplicaNão se aplicaNão se aplica",Mercado_Receita!$L$2:$L$391)</f>
        <v>0</v>
      </c>
      <c r="O38" s="13">
        <f>SUMIF(Mercado_Receita!$S$2:$S$391,"44621B2ConvencionalRuralServiço público de irrigação ruralNão se aplicaNão se aplicaPonta",Mercado_Receita!$L$2:$L$391)+SUMIF(Mercado_Receita!$S$2:$S$391,"44621B2ConvencionalRuralServiço público de irrigação ruralNão se aplicaNão se aplicaFora ponta",Mercado_Receita!$L$2:$L$391)+SUMIF(Mercado_Receita!$S$2:$S$391,"44621B2ConvencionalRuralServiço público de irrigação ruralNão se aplicaNão se aplicaIntermediário",Mercado_Receita!$L$2:$L$391)+SUMIF(Mercado_Receita!$S$2:$S$391,"44621B2ConvencionalRuralServiço público de irrigação ruralNão se aplicaNão se aplicaNão se aplica",Mercado_Receita!$L$2:$L$391)</f>
        <v>0</v>
      </c>
      <c r="P38" s="13">
        <f>SUMIF(Mercado_Receita!$S$2:$S$391,"44652B2ConvencionalRuralServiço público de irrigação ruralNão se aplicaNão se aplicaPonta",Mercado_Receita!$L$2:$L$391)+SUMIF(Mercado_Receita!$S$2:$S$391,"44652B2ConvencionalRuralServiço público de irrigação ruralNão se aplicaNão se aplicaFora ponta",Mercado_Receita!$L$2:$L$391)+SUMIF(Mercado_Receita!$S$2:$S$391,"44652B2ConvencionalRuralServiço público de irrigação ruralNão se aplicaNão se aplicaIntermediário",Mercado_Receita!$L$2:$L$391)+SUMIF(Mercado_Receita!$S$2:$S$391,"44652B2ConvencionalRuralServiço público de irrigação ruralNão se aplicaNão se aplicaNão se aplica",Mercado_Receita!$L$2:$L$391)</f>
        <v>0</v>
      </c>
      <c r="Q38" s="13">
        <f>SUMIF(Mercado_Receita!$S$2:$S$391,"44682B2ConvencionalRuralServiço público de irrigação ruralNão se aplicaNão se aplicaPonta",Mercado_Receita!$L$2:$L$391)+SUMIF(Mercado_Receita!$S$2:$S$391,"44682B2ConvencionalRuralServiço público de irrigação ruralNão se aplicaNão se aplicaFora ponta",Mercado_Receita!$L$2:$L$391)+SUMIF(Mercado_Receita!$S$2:$S$391,"44682B2ConvencionalRuralServiço público de irrigação ruralNão se aplicaNão se aplicaIntermediário",Mercado_Receita!$L$2:$L$391)+SUMIF(Mercado_Receita!$S$2:$S$391,"44682B2ConvencionalRuralServiço público de irrigação ruralNão se aplicaNão se aplicaNão se aplica",Mercado_Receita!$L$2:$L$391)</f>
        <v>0</v>
      </c>
      <c r="R38" s="13">
        <f>SUMIF(Mercado_Receita!$S$2:$S$391,"44713B2ConvencionalRuralServiço público de irrigação ruralNão se aplicaNão se aplicaPonta",Mercado_Receita!$L$2:$L$391)+SUMIF(Mercado_Receita!$S$2:$S$391,"44713B2ConvencionalRuralServiço público de irrigação ruralNão se aplicaNão se aplicaFora ponta",Mercado_Receita!$L$2:$L$391)+SUMIF(Mercado_Receita!$S$2:$S$391,"44713B2ConvencionalRuralServiço público de irrigação ruralNão se aplicaNão se aplicaIntermediário",Mercado_Receita!$L$2:$L$391)+SUMIF(Mercado_Receita!$S$2:$S$391,"44713B2ConvencionalRuralServiço público de irrigação ruralNão se aplicaNão se aplicaNão se aplica",Mercado_Receita!$L$2:$L$391)</f>
        <v>0</v>
      </c>
      <c r="S38" s="13">
        <f>SUMIF(Mercado_Receita!$S$2:$S$391,"44743B2ConvencionalRuralServiço público de irrigação ruralNão se aplicaNão se aplicaPonta",Mercado_Receita!$L$2:$L$391)+SUMIF(Mercado_Receita!$S$2:$S$391,"44743B2ConvencionalRuralServiço público de irrigação ruralNão se aplicaNão se aplicaFora ponta",Mercado_Receita!$L$2:$L$391)+SUMIF(Mercado_Receita!$S$2:$S$391,"44743B2ConvencionalRuralServiço público de irrigação ruralNão se aplicaNão se aplicaIntermediário",Mercado_Receita!$L$2:$L$391)+SUMIF(Mercado_Receita!$S$2:$S$391,"44743B2ConvencionalRuralServiço público de irrigação ruralNão se aplicaNão se aplicaNão se aplica",Mercado_Receita!$L$2:$L$391)</f>
        <v>0</v>
      </c>
      <c r="T38" s="13">
        <f>SUMIF(Mercado_Receita!$S$2:$S$391,"44774B2ConvencionalRuralServiço público de irrigação ruralNão se aplicaNão se aplicaPonta",Mercado_Receita!$L$2:$L$391)+SUMIF(Mercado_Receita!$S$2:$S$391,"44774B2ConvencionalRuralServiço público de irrigação ruralNão se aplicaNão se aplicaFora ponta",Mercado_Receita!$L$2:$L$391)+SUMIF(Mercado_Receita!$S$2:$S$391,"44774B2ConvencionalRuralServiço público de irrigação ruralNão se aplicaNão se aplicaIntermediário",Mercado_Receita!$L$2:$L$391)+SUMIF(Mercado_Receita!$S$2:$S$391,"44774B2ConvencionalRuralServiço público de irrigação ruralNão se aplicaNão se aplicaNão se aplica",Mercado_Receita!$L$2:$L$391)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8"/>
      <c r="B39" s="77" t="s">
        <v>88</v>
      </c>
      <c r="C39" s="77" t="s">
        <v>43</v>
      </c>
      <c r="D39" s="12" t="s">
        <v>25</v>
      </c>
      <c r="E39" s="12" t="s">
        <v>25</v>
      </c>
      <c r="F39" s="12" t="s">
        <v>25</v>
      </c>
      <c r="G39" s="13" t="s">
        <v>79</v>
      </c>
      <c r="H39" s="13" t="s">
        <v>72</v>
      </c>
      <c r="I39" s="13">
        <f>SUMIF(Mercado_Receita!$S$2:$S$391,"44440B2Convencional pré-pagamentoRuralNão se aplicaNão se aplicaNão se aplicaPonta",Mercado_Receita!$L$2:$L$391)+SUMIF(Mercado_Receita!$S$2:$S$391,"44440B2Convencional pré-pagamentoRuralNão se aplicaNão se aplicaNão se aplicaFora ponta",Mercado_Receita!$L$2:$L$391)+SUMIF(Mercado_Receita!$S$2:$S$391,"44440B2Convencional pré-pagamentoRuralNão se aplicaNão se aplicaNão se aplicaIntermediário",Mercado_Receita!$L$2:$L$391)+SUMIF(Mercado_Receita!$S$2:$S$391,"44440B2Convencional pré-pagamentoRuralNão se aplicaNão se aplicaNão se aplicaNão se aplica",Mercado_Receita!$L$2:$L$391)</f>
        <v>0</v>
      </c>
      <c r="J39" s="13">
        <f>SUMIF(Mercado_Receita!$S$2:$S$391,"44470B2Convencional pré-pagamentoRuralNão se aplicaNão se aplicaNão se aplicaPonta",Mercado_Receita!$L$2:$L$391)+SUMIF(Mercado_Receita!$S$2:$S$391,"44470B2Convencional pré-pagamentoRuralNão se aplicaNão se aplicaNão se aplicaFora ponta",Mercado_Receita!$L$2:$L$391)+SUMIF(Mercado_Receita!$S$2:$S$391,"44470B2Convencional pré-pagamentoRuralNão se aplicaNão se aplicaNão se aplicaIntermediário",Mercado_Receita!$L$2:$L$391)+SUMIF(Mercado_Receita!$S$2:$S$391,"44470B2Convencional pré-pagamentoRuralNão se aplicaNão se aplicaNão se aplicaNão se aplica",Mercado_Receita!$L$2:$L$391)</f>
        <v>0</v>
      </c>
      <c r="K39" s="13">
        <f>SUMIF(Mercado_Receita!$S$2:$S$391,"44501B2Convencional pré-pagamentoRuralNão se aplicaNão se aplicaNão se aplicaPonta",Mercado_Receita!$L$2:$L$391)+SUMIF(Mercado_Receita!$S$2:$S$391,"44501B2Convencional pré-pagamentoRuralNão se aplicaNão se aplicaNão se aplicaFora ponta",Mercado_Receita!$L$2:$L$391)+SUMIF(Mercado_Receita!$S$2:$S$391,"44501B2Convencional pré-pagamentoRuralNão se aplicaNão se aplicaNão se aplicaIntermediário",Mercado_Receita!$L$2:$L$391)+SUMIF(Mercado_Receita!$S$2:$S$391,"44501B2Convencional pré-pagamentoRuralNão se aplicaNão se aplicaNão se aplicaNão se aplica",Mercado_Receita!$L$2:$L$391)</f>
        <v>0</v>
      </c>
      <c r="L39" s="13">
        <f>SUMIF(Mercado_Receita!$S$2:$S$391,"44531B2Convencional pré-pagamentoRuralNão se aplicaNão se aplicaNão se aplicaPonta",Mercado_Receita!$L$2:$L$391)+SUMIF(Mercado_Receita!$S$2:$S$391,"44531B2Convencional pré-pagamentoRuralNão se aplicaNão se aplicaNão se aplicaFora ponta",Mercado_Receita!$L$2:$L$391)+SUMIF(Mercado_Receita!$S$2:$S$391,"44531B2Convencional pré-pagamentoRuralNão se aplicaNão se aplicaNão se aplicaIntermediário",Mercado_Receita!$L$2:$L$391)+SUMIF(Mercado_Receita!$S$2:$S$391,"44531B2Convencional pré-pagamentoRuralNão se aplicaNão se aplicaNão se aplicaNão se aplica",Mercado_Receita!$L$2:$L$391)</f>
        <v>0</v>
      </c>
      <c r="M39" s="13">
        <f>SUMIF(Mercado_Receita!$S$2:$S$391,"44562B2Convencional pré-pagamentoRuralNão se aplicaNão se aplicaNão se aplicaPonta",Mercado_Receita!$L$2:$L$391)+SUMIF(Mercado_Receita!$S$2:$S$391,"44562B2Convencional pré-pagamentoRuralNão se aplicaNão se aplicaNão se aplicaFora ponta",Mercado_Receita!$L$2:$L$391)+SUMIF(Mercado_Receita!$S$2:$S$391,"44562B2Convencional pré-pagamentoRuralNão se aplicaNão se aplicaNão se aplicaIntermediário",Mercado_Receita!$L$2:$L$391)+SUMIF(Mercado_Receita!$S$2:$S$391,"44562B2Convencional pré-pagamentoRuralNão se aplicaNão se aplicaNão se aplicaNão se aplica",Mercado_Receita!$L$2:$L$391)</f>
        <v>0</v>
      </c>
      <c r="N39" s="13">
        <f>SUMIF(Mercado_Receita!$S$2:$S$391,"44593B2Convencional pré-pagamentoRuralNão se aplicaNão se aplicaNão se aplicaPonta",Mercado_Receita!$L$2:$L$391)+SUMIF(Mercado_Receita!$S$2:$S$391,"44593B2Convencional pré-pagamentoRuralNão se aplicaNão se aplicaNão se aplicaFora ponta",Mercado_Receita!$L$2:$L$391)+SUMIF(Mercado_Receita!$S$2:$S$391,"44593B2Convencional pré-pagamentoRuralNão se aplicaNão se aplicaNão se aplicaIntermediário",Mercado_Receita!$L$2:$L$391)+SUMIF(Mercado_Receita!$S$2:$S$391,"44593B2Convencional pré-pagamentoRuralNão se aplicaNão se aplicaNão se aplicaNão se aplica",Mercado_Receita!$L$2:$L$391)</f>
        <v>0</v>
      </c>
      <c r="O39" s="13">
        <f>SUMIF(Mercado_Receita!$S$2:$S$391,"44621B2Convencional pré-pagamentoRuralNão se aplicaNão se aplicaNão se aplicaPonta",Mercado_Receita!$L$2:$L$391)+SUMIF(Mercado_Receita!$S$2:$S$391,"44621B2Convencional pré-pagamentoRuralNão se aplicaNão se aplicaNão se aplicaFora ponta",Mercado_Receita!$L$2:$L$391)+SUMIF(Mercado_Receita!$S$2:$S$391,"44621B2Convencional pré-pagamentoRuralNão se aplicaNão se aplicaNão se aplicaIntermediário",Mercado_Receita!$L$2:$L$391)+SUMIF(Mercado_Receita!$S$2:$S$391,"44621B2Convencional pré-pagamentoRuralNão se aplicaNão se aplicaNão se aplicaNão se aplica",Mercado_Receita!$L$2:$L$391)</f>
        <v>0</v>
      </c>
      <c r="P39" s="13">
        <f>SUMIF(Mercado_Receita!$S$2:$S$391,"44652B2Convencional pré-pagamentoRuralNão se aplicaNão se aplicaNão se aplicaPonta",Mercado_Receita!$L$2:$L$391)+SUMIF(Mercado_Receita!$S$2:$S$391,"44652B2Convencional pré-pagamentoRuralNão se aplicaNão se aplicaNão se aplicaFora ponta",Mercado_Receita!$L$2:$L$391)+SUMIF(Mercado_Receita!$S$2:$S$391,"44652B2Convencional pré-pagamentoRuralNão se aplicaNão se aplicaNão se aplicaIntermediário",Mercado_Receita!$L$2:$L$391)+SUMIF(Mercado_Receita!$S$2:$S$391,"44652B2Convencional pré-pagamentoRuralNão se aplicaNão se aplicaNão se aplicaNão se aplica",Mercado_Receita!$L$2:$L$391)</f>
        <v>0</v>
      </c>
      <c r="Q39" s="13">
        <f>SUMIF(Mercado_Receita!$S$2:$S$391,"44682B2Convencional pré-pagamentoRuralNão se aplicaNão se aplicaNão se aplicaPonta",Mercado_Receita!$L$2:$L$391)+SUMIF(Mercado_Receita!$S$2:$S$391,"44682B2Convencional pré-pagamentoRuralNão se aplicaNão se aplicaNão se aplicaFora ponta",Mercado_Receita!$L$2:$L$391)+SUMIF(Mercado_Receita!$S$2:$S$391,"44682B2Convencional pré-pagamentoRuralNão se aplicaNão se aplicaNão se aplicaIntermediário",Mercado_Receita!$L$2:$L$391)+SUMIF(Mercado_Receita!$S$2:$S$391,"44682B2Convencional pré-pagamentoRuralNão se aplicaNão se aplicaNão se aplicaNão se aplica",Mercado_Receita!$L$2:$L$391)</f>
        <v>0</v>
      </c>
      <c r="R39" s="13">
        <f>SUMIF(Mercado_Receita!$S$2:$S$391,"44713B2Convencional pré-pagamentoRuralNão se aplicaNão se aplicaNão se aplicaPonta",Mercado_Receita!$L$2:$L$391)+SUMIF(Mercado_Receita!$S$2:$S$391,"44713B2Convencional pré-pagamentoRuralNão se aplicaNão se aplicaNão se aplicaFora ponta",Mercado_Receita!$L$2:$L$391)+SUMIF(Mercado_Receita!$S$2:$S$391,"44713B2Convencional pré-pagamentoRuralNão se aplicaNão se aplicaNão se aplicaIntermediário",Mercado_Receita!$L$2:$L$391)+SUMIF(Mercado_Receita!$S$2:$S$391,"44713B2Convencional pré-pagamentoRuralNão se aplicaNão se aplicaNão se aplicaNão se aplica",Mercado_Receita!$L$2:$L$391)</f>
        <v>0</v>
      </c>
      <c r="S39" s="13">
        <f>SUMIF(Mercado_Receita!$S$2:$S$391,"44743B2Convencional pré-pagamentoRuralNão se aplicaNão se aplicaNão se aplicaPonta",Mercado_Receita!$L$2:$L$391)+SUMIF(Mercado_Receita!$S$2:$S$391,"44743B2Convencional pré-pagamentoRuralNão se aplicaNão se aplicaNão se aplicaFora ponta",Mercado_Receita!$L$2:$L$391)+SUMIF(Mercado_Receita!$S$2:$S$391,"44743B2Convencional pré-pagamentoRuralNão se aplicaNão se aplicaNão se aplicaIntermediário",Mercado_Receita!$L$2:$L$391)+SUMIF(Mercado_Receita!$S$2:$S$391,"44743B2Convencional pré-pagamentoRuralNão se aplicaNão se aplicaNão se aplicaNão se aplica",Mercado_Receita!$L$2:$L$391)</f>
        <v>0</v>
      </c>
      <c r="T39" s="13">
        <f>SUMIF(Mercado_Receita!$S$2:$S$391,"44774B2Convencional pré-pagamentoRuralNão se aplicaNão se aplicaNão se aplicaPonta",Mercado_Receita!$L$2:$L$391)+SUMIF(Mercado_Receita!$S$2:$S$391,"44774B2Convencional pré-pagamentoRuralNão se aplicaNão se aplicaNão se aplicaFora ponta",Mercado_Receita!$L$2:$L$391)+SUMIF(Mercado_Receita!$S$2:$S$391,"44774B2Convencional pré-pagamentoRuralNão se aplicaNão se aplicaNão se aplicaIntermediário",Mercado_Receita!$L$2:$L$391)+SUMIF(Mercado_Receita!$S$2:$S$391,"44774B2Convencional pré-pagamentoRuralNão se aplicaNão se aplicaNão se aplicaNão se aplica",Mercado_Receita!$L$2:$L$391)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78"/>
      <c r="B40" s="78"/>
      <c r="C40" s="78"/>
      <c r="D40" s="12" t="s">
        <v>89</v>
      </c>
      <c r="E40" s="12" t="s">
        <v>25</v>
      </c>
      <c r="F40" s="12" t="s">
        <v>25</v>
      </c>
      <c r="G40" s="13" t="s">
        <v>79</v>
      </c>
      <c r="H40" s="13" t="s">
        <v>72</v>
      </c>
      <c r="I40" s="13">
        <f>SUMIF(Mercado_Receita!$S$2:$S$391,"44440B2Convencional pré-pagamentoRuralCooperativa de eletrificação ruralNão se aplicaNão se aplicaPonta",Mercado_Receita!$L$2:$L$391)+SUMIF(Mercado_Receita!$S$2:$S$391,"44440B2Convencional pré-pagamentoRuralCooperativa de eletrificação ruralNão se aplicaNão se aplicaFora ponta",Mercado_Receita!$L$2:$L$391)+SUMIF(Mercado_Receita!$S$2:$S$391,"44440B2Convencional pré-pagamentoRuralCooperativa de eletrificação ruralNão se aplicaNão se aplicaIntermediário",Mercado_Receita!$L$2:$L$391)+SUMIF(Mercado_Receita!$S$2:$S$391,"44440B2Convencional pré-pagamentoRuralCooperativa de eletrificação ruralNão se aplicaNão se aplicaNão se aplica",Mercado_Receita!$L$2:$L$391)</f>
        <v>0</v>
      </c>
      <c r="J40" s="13">
        <f>SUMIF(Mercado_Receita!$S$2:$S$391,"44470B2Convencional pré-pagamentoRuralCooperativa de eletrificação ruralNão se aplicaNão se aplicaPonta",Mercado_Receita!$L$2:$L$391)+SUMIF(Mercado_Receita!$S$2:$S$391,"44470B2Convencional pré-pagamentoRuralCooperativa de eletrificação ruralNão se aplicaNão se aplicaFora ponta",Mercado_Receita!$L$2:$L$391)+SUMIF(Mercado_Receita!$S$2:$S$391,"44470B2Convencional pré-pagamentoRuralCooperativa de eletrificação ruralNão se aplicaNão se aplicaIntermediário",Mercado_Receita!$L$2:$L$391)+SUMIF(Mercado_Receita!$S$2:$S$391,"44470B2Convencional pré-pagamentoRuralCooperativa de eletrificação ruralNão se aplicaNão se aplicaNão se aplica",Mercado_Receita!$L$2:$L$391)</f>
        <v>0</v>
      </c>
      <c r="K40" s="13">
        <f>SUMIF(Mercado_Receita!$S$2:$S$391,"44501B2Convencional pré-pagamentoRuralCooperativa de eletrificação ruralNão se aplicaNão se aplicaPonta",Mercado_Receita!$L$2:$L$391)+SUMIF(Mercado_Receita!$S$2:$S$391,"44501B2Convencional pré-pagamentoRuralCooperativa de eletrificação ruralNão se aplicaNão se aplicaFora ponta",Mercado_Receita!$L$2:$L$391)+SUMIF(Mercado_Receita!$S$2:$S$391,"44501B2Convencional pré-pagamentoRuralCooperativa de eletrificação ruralNão se aplicaNão se aplicaIntermediário",Mercado_Receita!$L$2:$L$391)+SUMIF(Mercado_Receita!$S$2:$S$391,"44501B2Convencional pré-pagamentoRuralCooperativa de eletrificação ruralNão se aplicaNão se aplicaNão se aplica",Mercado_Receita!$L$2:$L$391)</f>
        <v>0</v>
      </c>
      <c r="L40" s="13">
        <f>SUMIF(Mercado_Receita!$S$2:$S$391,"44531B2Convencional pré-pagamentoRuralCooperativa de eletrificação ruralNão se aplicaNão se aplicaPonta",Mercado_Receita!$L$2:$L$391)+SUMIF(Mercado_Receita!$S$2:$S$391,"44531B2Convencional pré-pagamentoRuralCooperativa de eletrificação ruralNão se aplicaNão se aplicaFora ponta",Mercado_Receita!$L$2:$L$391)+SUMIF(Mercado_Receita!$S$2:$S$391,"44531B2Convencional pré-pagamentoRuralCooperativa de eletrificação ruralNão se aplicaNão se aplicaIntermediário",Mercado_Receita!$L$2:$L$391)+SUMIF(Mercado_Receita!$S$2:$S$391,"44531B2Convencional pré-pagamentoRuralCooperativa de eletrificação ruralNão se aplicaNão se aplicaNão se aplica",Mercado_Receita!$L$2:$L$391)</f>
        <v>0</v>
      </c>
      <c r="M40" s="13">
        <f>SUMIF(Mercado_Receita!$S$2:$S$391,"44562B2Convencional pré-pagamentoRuralCooperativa de eletrificação ruralNão se aplicaNão se aplicaPonta",Mercado_Receita!$L$2:$L$391)+SUMIF(Mercado_Receita!$S$2:$S$391,"44562B2Convencional pré-pagamentoRuralCooperativa de eletrificação ruralNão se aplicaNão se aplicaFora ponta",Mercado_Receita!$L$2:$L$391)+SUMIF(Mercado_Receita!$S$2:$S$391,"44562B2Convencional pré-pagamentoRuralCooperativa de eletrificação ruralNão se aplicaNão se aplicaIntermediário",Mercado_Receita!$L$2:$L$391)+SUMIF(Mercado_Receita!$S$2:$S$391,"44562B2Convencional pré-pagamentoRuralCooperativa de eletrificação ruralNão se aplicaNão se aplicaNão se aplica",Mercado_Receita!$L$2:$L$391)</f>
        <v>0</v>
      </c>
      <c r="N40" s="13">
        <f>SUMIF(Mercado_Receita!$S$2:$S$391,"44593B2Convencional pré-pagamentoRuralCooperativa de eletrificação ruralNão se aplicaNão se aplicaPonta",Mercado_Receita!$L$2:$L$391)+SUMIF(Mercado_Receita!$S$2:$S$391,"44593B2Convencional pré-pagamentoRuralCooperativa de eletrificação ruralNão se aplicaNão se aplicaFora ponta",Mercado_Receita!$L$2:$L$391)+SUMIF(Mercado_Receita!$S$2:$S$391,"44593B2Convencional pré-pagamentoRuralCooperativa de eletrificação ruralNão se aplicaNão se aplicaIntermediário",Mercado_Receita!$L$2:$L$391)+SUMIF(Mercado_Receita!$S$2:$S$391,"44593B2Convencional pré-pagamentoRuralCooperativa de eletrificação ruralNão se aplicaNão se aplicaNão se aplica",Mercado_Receita!$L$2:$L$391)</f>
        <v>0</v>
      </c>
      <c r="O40" s="13">
        <f>SUMIF(Mercado_Receita!$S$2:$S$391,"44621B2Convencional pré-pagamentoRuralCooperativa de eletrificação ruralNão se aplicaNão se aplicaPonta",Mercado_Receita!$L$2:$L$391)+SUMIF(Mercado_Receita!$S$2:$S$391,"44621B2Convencional pré-pagamentoRuralCooperativa de eletrificação ruralNão se aplicaNão se aplicaFora ponta",Mercado_Receita!$L$2:$L$391)+SUMIF(Mercado_Receita!$S$2:$S$391,"44621B2Convencional pré-pagamentoRuralCooperativa de eletrificação ruralNão se aplicaNão se aplicaIntermediário",Mercado_Receita!$L$2:$L$391)+SUMIF(Mercado_Receita!$S$2:$S$391,"44621B2Convencional pré-pagamentoRuralCooperativa de eletrificação ruralNão se aplicaNão se aplicaNão se aplica",Mercado_Receita!$L$2:$L$391)</f>
        <v>0</v>
      </c>
      <c r="P40" s="13">
        <f>SUMIF(Mercado_Receita!$S$2:$S$391,"44652B2Convencional pré-pagamentoRuralCooperativa de eletrificação ruralNão se aplicaNão se aplicaPonta",Mercado_Receita!$L$2:$L$391)+SUMIF(Mercado_Receita!$S$2:$S$391,"44652B2Convencional pré-pagamentoRuralCooperativa de eletrificação ruralNão se aplicaNão se aplicaFora ponta",Mercado_Receita!$L$2:$L$391)+SUMIF(Mercado_Receita!$S$2:$S$391,"44652B2Convencional pré-pagamentoRuralCooperativa de eletrificação ruralNão se aplicaNão se aplicaIntermediário",Mercado_Receita!$L$2:$L$391)+SUMIF(Mercado_Receita!$S$2:$S$391,"44652B2Convencional pré-pagamentoRuralCooperativa de eletrificação ruralNão se aplicaNão se aplicaNão se aplica",Mercado_Receita!$L$2:$L$391)</f>
        <v>0</v>
      </c>
      <c r="Q40" s="13">
        <f>SUMIF(Mercado_Receita!$S$2:$S$391,"44682B2Convencional pré-pagamentoRuralCooperativa de eletrificação ruralNão se aplicaNão se aplicaPonta",Mercado_Receita!$L$2:$L$391)+SUMIF(Mercado_Receita!$S$2:$S$391,"44682B2Convencional pré-pagamentoRuralCooperativa de eletrificação ruralNão se aplicaNão se aplicaFora ponta",Mercado_Receita!$L$2:$L$391)+SUMIF(Mercado_Receita!$S$2:$S$391,"44682B2Convencional pré-pagamentoRuralCooperativa de eletrificação ruralNão se aplicaNão se aplicaIntermediário",Mercado_Receita!$L$2:$L$391)+SUMIF(Mercado_Receita!$S$2:$S$391,"44682B2Convencional pré-pagamentoRuralCooperativa de eletrificação ruralNão se aplicaNão se aplicaNão se aplica",Mercado_Receita!$L$2:$L$391)</f>
        <v>0</v>
      </c>
      <c r="R40" s="13">
        <f>SUMIF(Mercado_Receita!$S$2:$S$391,"44713B2Convencional pré-pagamentoRuralCooperativa de eletrificação ruralNão se aplicaNão se aplicaPonta",Mercado_Receita!$L$2:$L$391)+SUMIF(Mercado_Receita!$S$2:$S$391,"44713B2Convencional pré-pagamentoRuralCooperativa de eletrificação ruralNão se aplicaNão se aplicaFora ponta",Mercado_Receita!$L$2:$L$391)+SUMIF(Mercado_Receita!$S$2:$S$391,"44713B2Convencional pré-pagamentoRuralCooperativa de eletrificação ruralNão se aplicaNão se aplicaIntermediário",Mercado_Receita!$L$2:$L$391)+SUMIF(Mercado_Receita!$S$2:$S$391,"44713B2Convencional pré-pagamentoRuralCooperativa de eletrificação ruralNão se aplicaNão se aplicaNão se aplica",Mercado_Receita!$L$2:$L$391)</f>
        <v>0</v>
      </c>
      <c r="S40" s="13">
        <f>SUMIF(Mercado_Receita!$S$2:$S$391,"44743B2Convencional pré-pagamentoRuralCooperativa de eletrificação ruralNão se aplicaNão se aplicaPonta",Mercado_Receita!$L$2:$L$391)+SUMIF(Mercado_Receita!$S$2:$S$391,"44743B2Convencional pré-pagamentoRuralCooperativa de eletrificação ruralNão se aplicaNão se aplicaFora ponta",Mercado_Receita!$L$2:$L$391)+SUMIF(Mercado_Receita!$S$2:$S$391,"44743B2Convencional pré-pagamentoRuralCooperativa de eletrificação ruralNão se aplicaNão se aplicaIntermediário",Mercado_Receita!$L$2:$L$391)+SUMIF(Mercado_Receita!$S$2:$S$391,"44743B2Convencional pré-pagamentoRuralCooperativa de eletrificação ruralNão se aplicaNão se aplicaNão se aplica",Mercado_Receita!$L$2:$L$391)</f>
        <v>0</v>
      </c>
      <c r="T40" s="13">
        <f>SUMIF(Mercado_Receita!$S$2:$S$391,"44774B2Convencional pré-pagamentoRuralCooperativa de eletrificação ruralNão se aplicaNão se aplicaPonta",Mercado_Receita!$L$2:$L$391)+SUMIF(Mercado_Receita!$S$2:$S$391,"44774B2Convencional pré-pagamentoRuralCooperativa de eletrificação ruralNão se aplicaNão se aplicaFora ponta",Mercado_Receita!$L$2:$L$391)+SUMIF(Mercado_Receita!$S$2:$S$391,"44774B2Convencional pré-pagamentoRuralCooperativa de eletrificação ruralNão se aplicaNão se aplicaIntermediário",Mercado_Receita!$L$2:$L$391)+SUMIF(Mercado_Receita!$S$2:$S$391,"44774B2Convencional pré-pagamentoRuralCooperativa de eletrificação ruralNão se aplicaNão se aplicaNão se aplica",Mercado_Receita!$L$2:$L$391)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78"/>
      <c r="B41" s="78"/>
      <c r="C41" s="78"/>
      <c r="D41" s="12" t="s">
        <v>90</v>
      </c>
      <c r="E41" s="12" t="s">
        <v>25</v>
      </c>
      <c r="F41" s="12" t="s">
        <v>25</v>
      </c>
      <c r="G41" s="13" t="s">
        <v>79</v>
      </c>
      <c r="H41" s="13" t="s">
        <v>72</v>
      </c>
      <c r="I41" s="13">
        <f>SUMIF(Mercado_Receita!$S$2:$S$391,"44440B2Convencional pré-pagamentoRuralServiço público de irrigação ruralNão se aplicaNão se aplicaPonta",Mercado_Receita!$L$2:$L$391)+SUMIF(Mercado_Receita!$S$2:$S$391,"44440B2Convencional pré-pagamentoRuralServiço público de irrigação ruralNão se aplicaNão se aplicaFora ponta",Mercado_Receita!$L$2:$L$391)+SUMIF(Mercado_Receita!$S$2:$S$391,"44440B2Convencional pré-pagamentoRuralServiço público de irrigação ruralNão se aplicaNão se aplicaIntermediário",Mercado_Receita!$L$2:$L$391)+SUMIF(Mercado_Receita!$S$2:$S$391,"44440B2Convencional pré-pagamentoRuralServiço público de irrigação ruralNão se aplicaNão se aplicaNão se aplica",Mercado_Receita!$L$2:$L$391)</f>
        <v>0</v>
      </c>
      <c r="J41" s="13">
        <f>SUMIF(Mercado_Receita!$S$2:$S$391,"44470B2Convencional pré-pagamentoRuralServiço público de irrigação ruralNão se aplicaNão se aplicaPonta",Mercado_Receita!$L$2:$L$391)+SUMIF(Mercado_Receita!$S$2:$S$391,"44470B2Convencional pré-pagamentoRuralServiço público de irrigação ruralNão se aplicaNão se aplicaFora ponta",Mercado_Receita!$L$2:$L$391)+SUMIF(Mercado_Receita!$S$2:$S$391,"44470B2Convencional pré-pagamentoRuralServiço público de irrigação ruralNão se aplicaNão se aplicaIntermediário",Mercado_Receita!$L$2:$L$391)+SUMIF(Mercado_Receita!$S$2:$S$391,"44470B2Convencional pré-pagamentoRuralServiço público de irrigação ruralNão se aplicaNão se aplicaNão se aplica",Mercado_Receita!$L$2:$L$391)</f>
        <v>0</v>
      </c>
      <c r="K41" s="13">
        <f>SUMIF(Mercado_Receita!$S$2:$S$391,"44501B2Convencional pré-pagamentoRuralServiço público de irrigação ruralNão se aplicaNão se aplicaPonta",Mercado_Receita!$L$2:$L$391)+SUMIF(Mercado_Receita!$S$2:$S$391,"44501B2Convencional pré-pagamentoRuralServiço público de irrigação ruralNão se aplicaNão se aplicaFora ponta",Mercado_Receita!$L$2:$L$391)+SUMIF(Mercado_Receita!$S$2:$S$391,"44501B2Convencional pré-pagamentoRuralServiço público de irrigação ruralNão se aplicaNão se aplicaIntermediário",Mercado_Receita!$L$2:$L$391)+SUMIF(Mercado_Receita!$S$2:$S$391,"44501B2Convencional pré-pagamentoRuralServiço público de irrigação ruralNão se aplicaNão se aplicaNão se aplica",Mercado_Receita!$L$2:$L$391)</f>
        <v>0</v>
      </c>
      <c r="L41" s="13">
        <f>SUMIF(Mercado_Receita!$S$2:$S$391,"44531B2Convencional pré-pagamentoRuralServiço público de irrigação ruralNão se aplicaNão se aplicaPonta",Mercado_Receita!$L$2:$L$391)+SUMIF(Mercado_Receita!$S$2:$S$391,"44531B2Convencional pré-pagamentoRuralServiço público de irrigação ruralNão se aplicaNão se aplicaFora ponta",Mercado_Receita!$L$2:$L$391)+SUMIF(Mercado_Receita!$S$2:$S$391,"44531B2Convencional pré-pagamentoRuralServiço público de irrigação ruralNão se aplicaNão se aplicaIntermediário",Mercado_Receita!$L$2:$L$391)+SUMIF(Mercado_Receita!$S$2:$S$391,"44531B2Convencional pré-pagamentoRuralServiço público de irrigação ruralNão se aplicaNão se aplicaNão se aplica",Mercado_Receita!$L$2:$L$391)</f>
        <v>0</v>
      </c>
      <c r="M41" s="13">
        <f>SUMIF(Mercado_Receita!$S$2:$S$391,"44562B2Convencional pré-pagamentoRuralServiço público de irrigação ruralNão se aplicaNão se aplicaPonta",Mercado_Receita!$L$2:$L$391)+SUMIF(Mercado_Receita!$S$2:$S$391,"44562B2Convencional pré-pagamentoRuralServiço público de irrigação ruralNão se aplicaNão se aplicaFora ponta",Mercado_Receita!$L$2:$L$391)+SUMIF(Mercado_Receita!$S$2:$S$391,"44562B2Convencional pré-pagamentoRuralServiço público de irrigação ruralNão se aplicaNão se aplicaIntermediário",Mercado_Receita!$L$2:$L$391)+SUMIF(Mercado_Receita!$S$2:$S$391,"44562B2Convencional pré-pagamentoRuralServiço público de irrigação ruralNão se aplicaNão se aplicaNão se aplica",Mercado_Receita!$L$2:$L$391)</f>
        <v>0</v>
      </c>
      <c r="N41" s="13">
        <f>SUMIF(Mercado_Receita!$S$2:$S$391,"44593B2Convencional pré-pagamentoRuralServiço público de irrigação ruralNão se aplicaNão se aplicaPonta",Mercado_Receita!$L$2:$L$391)+SUMIF(Mercado_Receita!$S$2:$S$391,"44593B2Convencional pré-pagamentoRuralServiço público de irrigação ruralNão se aplicaNão se aplicaFora ponta",Mercado_Receita!$L$2:$L$391)+SUMIF(Mercado_Receita!$S$2:$S$391,"44593B2Convencional pré-pagamentoRuralServiço público de irrigação ruralNão se aplicaNão se aplicaIntermediário",Mercado_Receita!$L$2:$L$391)+SUMIF(Mercado_Receita!$S$2:$S$391,"44593B2Convencional pré-pagamentoRuralServiço público de irrigação ruralNão se aplicaNão se aplicaNão se aplica",Mercado_Receita!$L$2:$L$391)</f>
        <v>0</v>
      </c>
      <c r="O41" s="13">
        <f>SUMIF(Mercado_Receita!$S$2:$S$391,"44621B2Convencional pré-pagamentoRuralServiço público de irrigação ruralNão se aplicaNão se aplicaPonta",Mercado_Receita!$L$2:$L$391)+SUMIF(Mercado_Receita!$S$2:$S$391,"44621B2Convencional pré-pagamentoRuralServiço público de irrigação ruralNão se aplicaNão se aplicaFora ponta",Mercado_Receita!$L$2:$L$391)+SUMIF(Mercado_Receita!$S$2:$S$391,"44621B2Convencional pré-pagamentoRuralServiço público de irrigação ruralNão se aplicaNão se aplicaIntermediário",Mercado_Receita!$L$2:$L$391)+SUMIF(Mercado_Receita!$S$2:$S$391,"44621B2Convencional pré-pagamentoRuralServiço público de irrigação ruralNão se aplicaNão se aplicaNão se aplica",Mercado_Receita!$L$2:$L$391)</f>
        <v>0</v>
      </c>
      <c r="P41" s="13">
        <f>SUMIF(Mercado_Receita!$S$2:$S$391,"44652B2Convencional pré-pagamentoRuralServiço público de irrigação ruralNão se aplicaNão se aplicaPonta",Mercado_Receita!$L$2:$L$391)+SUMIF(Mercado_Receita!$S$2:$S$391,"44652B2Convencional pré-pagamentoRuralServiço público de irrigação ruralNão se aplicaNão se aplicaFora ponta",Mercado_Receita!$L$2:$L$391)+SUMIF(Mercado_Receita!$S$2:$S$391,"44652B2Convencional pré-pagamentoRuralServiço público de irrigação ruralNão se aplicaNão se aplicaIntermediário",Mercado_Receita!$L$2:$L$391)+SUMIF(Mercado_Receita!$S$2:$S$391,"44652B2Convencional pré-pagamentoRuralServiço público de irrigação ruralNão se aplicaNão se aplicaNão se aplica",Mercado_Receita!$L$2:$L$391)</f>
        <v>0</v>
      </c>
      <c r="Q41" s="13">
        <f>SUMIF(Mercado_Receita!$S$2:$S$391,"44682B2Convencional pré-pagamentoRuralServiço público de irrigação ruralNão se aplicaNão se aplicaPonta",Mercado_Receita!$L$2:$L$391)+SUMIF(Mercado_Receita!$S$2:$S$391,"44682B2Convencional pré-pagamentoRuralServiço público de irrigação ruralNão se aplicaNão se aplicaFora ponta",Mercado_Receita!$L$2:$L$391)+SUMIF(Mercado_Receita!$S$2:$S$391,"44682B2Convencional pré-pagamentoRuralServiço público de irrigação ruralNão se aplicaNão se aplicaIntermediário",Mercado_Receita!$L$2:$L$391)+SUMIF(Mercado_Receita!$S$2:$S$391,"44682B2Convencional pré-pagamentoRuralServiço público de irrigação ruralNão se aplicaNão se aplicaNão se aplica",Mercado_Receita!$L$2:$L$391)</f>
        <v>0</v>
      </c>
      <c r="R41" s="13">
        <f>SUMIF(Mercado_Receita!$S$2:$S$391,"44713B2Convencional pré-pagamentoRuralServiço público de irrigação ruralNão se aplicaNão se aplicaPonta",Mercado_Receita!$L$2:$L$391)+SUMIF(Mercado_Receita!$S$2:$S$391,"44713B2Convencional pré-pagamentoRuralServiço público de irrigação ruralNão se aplicaNão se aplicaFora ponta",Mercado_Receita!$L$2:$L$391)+SUMIF(Mercado_Receita!$S$2:$S$391,"44713B2Convencional pré-pagamentoRuralServiço público de irrigação ruralNão se aplicaNão se aplicaIntermediário",Mercado_Receita!$L$2:$L$391)+SUMIF(Mercado_Receita!$S$2:$S$391,"44713B2Convencional pré-pagamentoRuralServiço público de irrigação ruralNão se aplicaNão se aplicaNão se aplica",Mercado_Receita!$L$2:$L$391)</f>
        <v>0</v>
      </c>
      <c r="S41" s="13">
        <f>SUMIF(Mercado_Receita!$S$2:$S$391,"44743B2Convencional pré-pagamentoRuralServiço público de irrigação ruralNão se aplicaNão se aplicaPonta",Mercado_Receita!$L$2:$L$391)+SUMIF(Mercado_Receita!$S$2:$S$391,"44743B2Convencional pré-pagamentoRuralServiço público de irrigação ruralNão se aplicaNão se aplicaFora ponta",Mercado_Receita!$L$2:$L$391)+SUMIF(Mercado_Receita!$S$2:$S$391,"44743B2Convencional pré-pagamentoRuralServiço público de irrigação ruralNão se aplicaNão se aplicaIntermediário",Mercado_Receita!$L$2:$L$391)+SUMIF(Mercado_Receita!$S$2:$S$391,"44743B2Convencional pré-pagamentoRuralServiço público de irrigação ruralNão se aplicaNão se aplicaNão se aplica",Mercado_Receita!$L$2:$L$391)</f>
        <v>0</v>
      </c>
      <c r="T41" s="13">
        <f>SUMIF(Mercado_Receita!$S$2:$S$391,"44774B2Convencional pré-pagamentoRuralServiço público de irrigação ruralNão se aplicaNão se aplicaPonta",Mercado_Receita!$L$2:$L$391)+SUMIF(Mercado_Receita!$S$2:$S$391,"44774B2Convencional pré-pagamentoRuralServiço público de irrigação ruralNão se aplicaNão se aplicaFora ponta",Mercado_Receita!$L$2:$L$391)+SUMIF(Mercado_Receita!$S$2:$S$391,"44774B2Convencional pré-pagamentoRuralServiço público de irrigação ruralNão se aplicaNão se aplicaIntermediário",Mercado_Receita!$L$2:$L$391)+SUMIF(Mercado_Receita!$S$2:$S$391,"44774B2Convencional pré-pagamentoRuralServiço público de irrigação ruralNão se aplicaNão se aplicaNão se aplica",Mercado_Receita!$L$2:$L$391)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77" t="s">
        <v>33</v>
      </c>
      <c r="B42" s="77" t="s">
        <v>40</v>
      </c>
      <c r="C42" s="77" t="s">
        <v>25</v>
      </c>
      <c r="D42" s="77" t="s">
        <v>25</v>
      </c>
      <c r="E42" s="77" t="s">
        <v>25</v>
      </c>
      <c r="F42" s="77" t="s">
        <v>25</v>
      </c>
      <c r="G42" s="13" t="s">
        <v>73</v>
      </c>
      <c r="H42" s="13" t="s">
        <v>72</v>
      </c>
      <c r="I42" s="13">
        <f>SUMIF(Mercado_Receita!$S$2:$S$391,"44440B3BrancaNão se aplicaNão se aplicaNão se aplicaNão se aplicaPonta",Mercado_Receita!$L$2:$L$391)</f>
        <v>0.05</v>
      </c>
      <c r="J42" s="13">
        <f>SUMIF(Mercado_Receita!$S$2:$S$391,"44470B3BrancaNão se aplicaNão se aplicaNão se aplicaNão se aplicaPonta",Mercado_Receita!$L$2:$L$391)</f>
        <v>5.1999999999999998E-2</v>
      </c>
      <c r="K42" s="13">
        <f>SUMIF(Mercado_Receita!$S$2:$S$391,"44501B3BrancaNão se aplicaNão se aplicaNão se aplicaNão se aplicaPonta",Mercado_Receita!$L$2:$L$391)</f>
        <v>5.1999999999999998E-2</v>
      </c>
      <c r="L42" s="13">
        <f>SUMIF(Mercado_Receita!$S$2:$S$391,"44531B3BrancaNão se aplicaNão se aplicaNão se aplicaNão se aplicaPonta",Mercado_Receita!$L$2:$L$391)</f>
        <v>5.7000000000000002E-2</v>
      </c>
      <c r="M42" s="13">
        <f>SUMIF(Mercado_Receita!$S$2:$S$391,"44562B3BrancaNão se aplicaNão se aplicaNão se aplicaNão se aplicaPonta",Mercado_Receita!$L$2:$L$391)</f>
        <v>7.4999999999999997E-2</v>
      </c>
      <c r="N42" s="13">
        <f>SUMIF(Mercado_Receita!$S$2:$S$391,"44593B3BrancaNão se aplicaNão se aplicaNão se aplicaNão se aplicaPonta",Mercado_Receita!$L$2:$L$391)</f>
        <v>0.106</v>
      </c>
      <c r="O42" s="13">
        <f>SUMIF(Mercado_Receita!$S$2:$S$391,"44621B3BrancaNão se aplicaNão se aplicaNão se aplicaNão se aplicaPonta",Mercado_Receita!$L$2:$L$391)</f>
        <v>7.4999999999999997E-2</v>
      </c>
      <c r="P42" s="13">
        <f>SUMIF(Mercado_Receita!$S$2:$S$391,"44652B3BrancaNão se aplicaNão se aplicaNão se aplicaNão se aplicaPonta",Mercado_Receita!$L$2:$L$391)</f>
        <v>8.6999999999999994E-2</v>
      </c>
      <c r="Q42" s="13">
        <f>SUMIF(Mercado_Receita!$S$2:$S$391,"44682B3BrancaNão se aplicaNão se aplicaNão se aplicaNão se aplicaPonta",Mercado_Receita!$L$2:$L$391)</f>
        <v>7.8E-2</v>
      </c>
      <c r="R42" s="13">
        <f>SUMIF(Mercado_Receita!$S$2:$S$391,"44713B3BrancaNão se aplicaNão se aplicaNão se aplicaNão se aplicaPonta",Mercado_Receita!$L$2:$L$391)</f>
        <v>0.08</v>
      </c>
      <c r="S42" s="13">
        <f>SUMIF(Mercado_Receita!$S$2:$S$391,"44743B3BrancaNão se aplicaNão se aplicaNão se aplicaNão se aplicaPonta",Mercado_Receita!$L$2:$L$391)</f>
        <v>7.8E-2</v>
      </c>
      <c r="T42" s="13">
        <f>SUMIF(Mercado_Receita!$S$2:$S$391,"44774B3BrancaNão se aplicaNão se aplicaNão se aplicaNão se aplicaPonta",Mercado_Receita!$L$2:$L$391)</f>
        <v>7.8E-2</v>
      </c>
      <c r="U42" s="13">
        <f t="shared" si="0"/>
        <v>0.86799999999999977</v>
      </c>
      <c r="V42" s="13"/>
      <c r="W42" s="13"/>
    </row>
    <row r="43" spans="1:23" ht="11.25" customHeight="1" x14ac:dyDescent="0.3">
      <c r="A43" s="78"/>
      <c r="B43" s="78"/>
      <c r="C43" s="78"/>
      <c r="D43" s="78"/>
      <c r="E43" s="78"/>
      <c r="F43" s="78"/>
      <c r="G43" s="13" t="s">
        <v>85</v>
      </c>
      <c r="H43" s="13" t="s">
        <v>72</v>
      </c>
      <c r="I43" s="13">
        <f>SUMIF(Mercado_Receita!$S$2:$S$391,"44440B3BrancaNão se aplicaNão se aplicaNão se aplicaNão se aplicaIntermediário",Mercado_Receita!$L$2:$L$391)</f>
        <v>3.2000000000000001E-2</v>
      </c>
      <c r="J43" s="13">
        <f>SUMIF(Mercado_Receita!$S$2:$S$391,"44470B3BrancaNão se aplicaNão se aplicaNão se aplicaNão se aplicaIntermediário",Mercado_Receita!$L$2:$L$391)</f>
        <v>3.5000000000000003E-2</v>
      </c>
      <c r="K43" s="13">
        <f>SUMIF(Mercado_Receita!$S$2:$S$391,"44501B3BrancaNão se aplicaNão se aplicaNão se aplicaNão se aplicaIntermediário",Mercado_Receita!$L$2:$L$391)</f>
        <v>3.4000000000000002E-2</v>
      </c>
      <c r="L43" s="13">
        <f>SUMIF(Mercado_Receita!$S$2:$S$391,"44531B3BrancaNão se aplicaNão se aplicaNão se aplicaNão se aplicaIntermediário",Mercado_Receita!$L$2:$L$391)</f>
        <v>3.7999999999999999E-2</v>
      </c>
      <c r="M43" s="13">
        <f>SUMIF(Mercado_Receita!$S$2:$S$391,"44562B3BrancaNão se aplicaNão se aplicaNão se aplicaNão se aplicaIntermediário",Mercado_Receita!$L$2:$L$391)</f>
        <v>0.05</v>
      </c>
      <c r="N43" s="13">
        <f>SUMIF(Mercado_Receita!$S$2:$S$391,"44593B3BrancaNão se aplicaNão se aplicaNão se aplicaNão se aplicaIntermediário",Mercado_Receita!$L$2:$L$391)</f>
        <v>6.9000000000000006E-2</v>
      </c>
      <c r="O43" s="13">
        <f>SUMIF(Mercado_Receita!$S$2:$S$391,"44621B3BrancaNão se aplicaNão se aplicaNão se aplicaNão se aplicaIntermediário",Mercado_Receita!$L$2:$L$391)</f>
        <v>5.1999999999999998E-2</v>
      </c>
      <c r="P43" s="13">
        <f>SUMIF(Mercado_Receita!$S$2:$S$391,"44652B3BrancaNão se aplicaNão se aplicaNão se aplicaNão se aplicaIntermediário",Mercado_Receita!$L$2:$L$391)</f>
        <v>5.7000000000000002E-2</v>
      </c>
      <c r="Q43" s="13">
        <f>SUMIF(Mercado_Receita!$S$2:$S$391,"44682B3BrancaNão se aplicaNão se aplicaNão se aplicaNão se aplicaIntermediário",Mercado_Receita!$L$2:$L$391)</f>
        <v>5.1999999999999998E-2</v>
      </c>
      <c r="R43" s="13">
        <f>SUMIF(Mercado_Receita!$S$2:$S$391,"44713B3BrancaNão se aplicaNão se aplicaNão se aplicaNão se aplicaIntermediário",Mercado_Receita!$L$2:$L$391)</f>
        <v>5.1999999999999998E-2</v>
      </c>
      <c r="S43" s="13">
        <f>SUMIF(Mercado_Receita!$S$2:$S$391,"44743B3BrancaNão se aplicaNão se aplicaNão se aplicaNão se aplicaIntermediário",Mercado_Receita!$L$2:$L$391)</f>
        <v>5.1999999999999998E-2</v>
      </c>
      <c r="T43" s="13">
        <f>SUMIF(Mercado_Receita!$S$2:$S$391,"44774B3BrancaNão se aplicaNão se aplicaNão se aplicaNão se aplicaIntermediário",Mercado_Receita!$L$2:$L$391)</f>
        <v>5.1999999999999998E-2</v>
      </c>
      <c r="U43" s="13">
        <f t="shared" si="0"/>
        <v>0.57500000000000007</v>
      </c>
      <c r="V43" s="13"/>
      <c r="W43" s="13"/>
    </row>
    <row r="44" spans="1:23" ht="11.25" customHeight="1" x14ac:dyDescent="0.3">
      <c r="A44" s="78"/>
      <c r="B44" s="78"/>
      <c r="C44" s="78"/>
      <c r="D44" s="78"/>
      <c r="E44" s="78"/>
      <c r="F44" s="78"/>
      <c r="G44" s="13" t="s">
        <v>74</v>
      </c>
      <c r="H44" s="13" t="s">
        <v>72</v>
      </c>
      <c r="I44" s="13">
        <f>SUMIF(Mercado_Receita!$S$2:$S$391,"44440B3BrancaNão se aplicaNão se aplicaNão se aplicaNão se aplicaFora ponta",Mercado_Receita!$L$2:$L$391)</f>
        <v>0.54100000000000004</v>
      </c>
      <c r="J44" s="13">
        <f>SUMIF(Mercado_Receita!$S$2:$S$391,"44470B3BrancaNão se aplicaNão se aplicaNão se aplicaNão se aplicaFora ponta",Mercado_Receita!$L$2:$L$391)</f>
        <v>0.56000000000000005</v>
      </c>
      <c r="K44" s="13">
        <f>SUMIF(Mercado_Receita!$S$2:$S$391,"44501B3BrancaNão se aplicaNão se aplicaNão se aplicaNão se aplicaFora ponta",Mercado_Receita!$L$2:$L$391)</f>
        <v>0.63</v>
      </c>
      <c r="L44" s="13">
        <f>SUMIF(Mercado_Receita!$S$2:$S$391,"44531B3BrancaNão se aplicaNão se aplicaNão se aplicaNão se aplicaFora ponta",Mercado_Receita!$L$2:$L$391)</f>
        <v>0.747</v>
      </c>
      <c r="M44" s="13">
        <f>SUMIF(Mercado_Receita!$S$2:$S$391,"44562B3BrancaNão se aplicaNão se aplicaNão se aplicaNão se aplicaFora ponta",Mercado_Receita!$L$2:$L$391)</f>
        <v>0.86099999999999999</v>
      </c>
      <c r="N44" s="13">
        <f>SUMIF(Mercado_Receita!$S$2:$S$391,"44593B3BrancaNão se aplicaNão se aplicaNão se aplicaNão se aplicaFora ponta",Mercado_Receita!$L$2:$L$391)</f>
        <v>1.2609999999999999</v>
      </c>
      <c r="O44" s="13">
        <f>SUMIF(Mercado_Receita!$S$2:$S$391,"44621B3BrancaNão se aplicaNão se aplicaNão se aplicaNão se aplicaFora ponta",Mercado_Receita!$L$2:$L$391)</f>
        <v>0.97199999999999998</v>
      </c>
      <c r="P44" s="13">
        <f>SUMIF(Mercado_Receita!$S$2:$S$391,"44652B3BrancaNão se aplicaNão se aplicaNão se aplicaNão se aplicaFora ponta",Mercado_Receita!$L$2:$L$391)</f>
        <v>0.91200000000000003</v>
      </c>
      <c r="Q44" s="13">
        <f>SUMIF(Mercado_Receita!$S$2:$S$391,"44682B3BrancaNão se aplicaNão se aplicaNão se aplicaNão se aplicaFora ponta",Mercado_Receita!$L$2:$L$391)</f>
        <v>0.84199999999999997</v>
      </c>
      <c r="R44" s="13">
        <f>SUMIF(Mercado_Receita!$S$2:$S$391,"44713B3BrancaNão se aplicaNão se aplicaNão se aplicaNão se aplicaFora ponta",Mercado_Receita!$L$2:$L$391)</f>
        <v>0.79100000000000004</v>
      </c>
      <c r="S44" s="13">
        <f>SUMIF(Mercado_Receita!$S$2:$S$391,"44743B3BrancaNão se aplicaNão se aplicaNão se aplicaNão se aplicaFora ponta",Mercado_Receita!$L$2:$L$391)</f>
        <v>0.74099999999999999</v>
      </c>
      <c r="T44" s="13">
        <f>SUMIF(Mercado_Receita!$S$2:$S$391,"44774B3BrancaNão se aplicaNão se aplicaNão se aplicaNão se aplicaFora ponta",Mercado_Receita!$L$2:$L$391)</f>
        <v>0.74099999999999999</v>
      </c>
      <c r="U44" s="13">
        <f t="shared" si="0"/>
        <v>9.5989999999999984</v>
      </c>
      <c r="V44" s="13"/>
      <c r="W44" s="13"/>
    </row>
    <row r="45" spans="1:23" ht="11.25" customHeight="1" x14ac:dyDescent="0.3">
      <c r="A45" s="78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79</v>
      </c>
      <c r="H45" s="13" t="s">
        <v>72</v>
      </c>
      <c r="I45" s="13">
        <f>SUMIF(Mercado_Receita!$S$2:$S$391,"44440B3ConvencionalNão se aplicaNão se aplicaNão se aplicaNão se aplicaPonta",Mercado_Receita!$L$2:$L$391)+SUMIF(Mercado_Receita!$S$2:$S$391,"44440B3ConvencionalNão se aplicaNão se aplicaNão se aplicaNão se aplicaFora ponta",Mercado_Receita!$L$2:$L$391)+SUMIF(Mercado_Receita!$S$2:$S$391,"44440B3ConvencionalNão se aplicaNão se aplicaNão se aplicaNão se aplicaIntermediário",Mercado_Receita!$L$2:$L$391)+SUMIF(Mercado_Receita!$S$2:$S$391,"44440B3ConvencionalNão se aplicaNão se aplicaNão se aplicaNão se aplicaNão se aplica",Mercado_Receita!$L$2:$L$391)</f>
        <v>248.881</v>
      </c>
      <c r="J45" s="13">
        <f>SUMIF(Mercado_Receita!$S$2:$S$391,"44470B3ConvencionalNão se aplicaNão se aplicaNão se aplicaNão se aplicaPonta",Mercado_Receita!$L$2:$L$391)+SUMIF(Mercado_Receita!$S$2:$S$391,"44470B3ConvencionalNão se aplicaNão se aplicaNão se aplicaNão se aplicaFora ponta",Mercado_Receita!$L$2:$L$391)+SUMIF(Mercado_Receita!$S$2:$S$391,"44470B3ConvencionalNão se aplicaNão se aplicaNão se aplicaNão se aplicaIntermediário",Mercado_Receita!$L$2:$L$391)+SUMIF(Mercado_Receita!$S$2:$S$391,"44470B3ConvencionalNão se aplicaNão se aplicaNão se aplicaNão se aplicaNão se aplica",Mercado_Receita!$L$2:$L$391)</f>
        <v>253.01700000000002</v>
      </c>
      <c r="K45" s="13">
        <f>SUMIF(Mercado_Receita!$S$2:$S$391,"44501B3ConvencionalNão se aplicaNão se aplicaNão se aplicaNão se aplicaPonta",Mercado_Receita!$L$2:$L$391)+SUMIF(Mercado_Receita!$S$2:$S$391,"44501B3ConvencionalNão se aplicaNão se aplicaNão se aplicaNão se aplicaFora ponta",Mercado_Receita!$L$2:$L$391)+SUMIF(Mercado_Receita!$S$2:$S$391,"44501B3ConvencionalNão se aplicaNão se aplicaNão se aplicaNão se aplicaIntermediário",Mercado_Receita!$L$2:$L$391)+SUMIF(Mercado_Receita!$S$2:$S$391,"44501B3ConvencionalNão se aplicaNão se aplicaNão se aplicaNão se aplicaNão se aplica",Mercado_Receita!$L$2:$L$391)</f>
        <v>263.33199999999999</v>
      </c>
      <c r="L45" s="13">
        <f>SUMIF(Mercado_Receita!$S$2:$S$391,"44531B3ConvencionalNão se aplicaNão se aplicaNão se aplicaNão se aplicaPonta",Mercado_Receita!$L$2:$L$391)+SUMIF(Mercado_Receita!$S$2:$S$391,"44531B3ConvencionalNão se aplicaNão se aplicaNão se aplicaNão se aplicaFora ponta",Mercado_Receita!$L$2:$L$391)+SUMIF(Mercado_Receita!$S$2:$S$391,"44531B3ConvencionalNão se aplicaNão se aplicaNão se aplicaNão se aplicaIntermediário",Mercado_Receita!$L$2:$L$391)+SUMIF(Mercado_Receita!$S$2:$S$391,"44531B3ConvencionalNão se aplicaNão se aplicaNão se aplicaNão se aplicaNão se aplica",Mercado_Receita!$L$2:$L$391)</f>
        <v>288.36799999999999</v>
      </c>
      <c r="M45" s="13">
        <f>SUMIF(Mercado_Receita!$S$2:$S$391,"44562B3ConvencionalNão se aplicaNão se aplicaNão se aplicaNão se aplicaPonta",Mercado_Receita!$L$2:$L$391)+SUMIF(Mercado_Receita!$S$2:$S$391,"44562B3ConvencionalNão se aplicaNão se aplicaNão se aplicaNão se aplicaFora ponta",Mercado_Receita!$L$2:$L$391)+SUMIF(Mercado_Receita!$S$2:$S$391,"44562B3ConvencionalNão se aplicaNão se aplicaNão se aplicaNão se aplicaIntermediário",Mercado_Receita!$L$2:$L$391)+SUMIF(Mercado_Receita!$S$2:$S$391,"44562B3ConvencionalNão se aplicaNão se aplicaNão se aplicaNão se aplicaNão se aplica",Mercado_Receita!$L$2:$L$391)</f>
        <v>259.92500000000001</v>
      </c>
      <c r="N45" s="13">
        <f>SUMIF(Mercado_Receita!$S$2:$S$391,"44593B3ConvencionalNão se aplicaNão se aplicaNão se aplicaNão se aplicaPonta",Mercado_Receita!$L$2:$L$391)+SUMIF(Mercado_Receita!$S$2:$S$391,"44593B3ConvencionalNão se aplicaNão se aplicaNão se aplicaNão se aplicaFora ponta",Mercado_Receita!$L$2:$L$391)+SUMIF(Mercado_Receita!$S$2:$S$391,"44593B3ConvencionalNão se aplicaNão se aplicaNão se aplicaNão se aplicaIntermediário",Mercado_Receita!$L$2:$L$391)+SUMIF(Mercado_Receita!$S$2:$S$391,"44593B3ConvencionalNão se aplicaNão se aplicaNão se aplicaNão se aplicaNão se aplica",Mercado_Receita!$L$2:$L$391)</f>
        <v>375.05100000000004</v>
      </c>
      <c r="O45" s="13">
        <f>SUMIF(Mercado_Receita!$S$2:$S$391,"44621B3ConvencionalNão se aplicaNão se aplicaNão se aplicaNão se aplicaPonta",Mercado_Receita!$L$2:$L$391)+SUMIF(Mercado_Receita!$S$2:$S$391,"44621B3ConvencionalNão se aplicaNão se aplicaNão se aplicaNão se aplicaFora ponta",Mercado_Receita!$L$2:$L$391)+SUMIF(Mercado_Receita!$S$2:$S$391,"44621B3ConvencionalNão se aplicaNão se aplicaNão se aplicaNão se aplicaIntermediário",Mercado_Receita!$L$2:$L$391)+SUMIF(Mercado_Receita!$S$2:$S$391,"44621B3ConvencionalNão se aplicaNão se aplicaNão se aplicaNão se aplicaNão se aplica",Mercado_Receita!$L$2:$L$391)</f>
        <v>321.50300000000004</v>
      </c>
      <c r="P45" s="13">
        <f>SUMIF(Mercado_Receita!$S$2:$S$391,"44652B3ConvencionalNão se aplicaNão se aplicaNão se aplicaNão se aplicaPonta",Mercado_Receita!$L$2:$L$391)+SUMIF(Mercado_Receita!$S$2:$S$391,"44652B3ConvencionalNão se aplicaNão se aplicaNão se aplicaNão se aplicaFora ponta",Mercado_Receita!$L$2:$L$391)+SUMIF(Mercado_Receita!$S$2:$S$391,"44652B3ConvencionalNão se aplicaNão se aplicaNão se aplicaNão se aplicaIntermediário",Mercado_Receita!$L$2:$L$391)+SUMIF(Mercado_Receita!$S$2:$S$391,"44652B3ConvencionalNão se aplicaNão se aplicaNão se aplicaNão se aplicaNão se aplica",Mercado_Receita!$L$2:$L$391)</f>
        <v>276.51900000000001</v>
      </c>
      <c r="Q45" s="13">
        <f>SUMIF(Mercado_Receita!$S$2:$S$391,"44682B3ConvencionalNão se aplicaNão se aplicaNão se aplicaNão se aplicaPonta",Mercado_Receita!$L$2:$L$391)+SUMIF(Mercado_Receita!$S$2:$S$391,"44682B3ConvencionalNão se aplicaNão se aplicaNão se aplicaNão se aplicaFora ponta",Mercado_Receita!$L$2:$L$391)+SUMIF(Mercado_Receita!$S$2:$S$391,"44682B3ConvencionalNão se aplicaNão se aplicaNão se aplicaNão se aplicaIntermediário",Mercado_Receita!$L$2:$L$391)+SUMIF(Mercado_Receita!$S$2:$S$391,"44682B3ConvencionalNão se aplicaNão se aplicaNão se aplicaNão se aplicaNão se aplica",Mercado_Receita!$L$2:$L$391)</f>
        <v>229.19800000000001</v>
      </c>
      <c r="R45" s="13">
        <f>SUMIF(Mercado_Receita!$S$2:$S$391,"44713B3ConvencionalNão se aplicaNão se aplicaNão se aplicaNão se aplicaPonta",Mercado_Receita!$L$2:$L$391)+SUMIF(Mercado_Receita!$S$2:$S$391,"44713B3ConvencionalNão se aplicaNão se aplicaNão se aplicaNão se aplicaFora ponta",Mercado_Receita!$L$2:$L$391)+SUMIF(Mercado_Receita!$S$2:$S$391,"44713B3ConvencionalNão se aplicaNão se aplicaNão se aplicaNão se aplicaIntermediário",Mercado_Receita!$L$2:$L$391)+SUMIF(Mercado_Receita!$S$2:$S$391,"44713B3ConvencionalNão se aplicaNão se aplicaNão se aplicaNão se aplicaNão se aplica",Mercado_Receita!$L$2:$L$391)</f>
        <v>243.16399999999999</v>
      </c>
      <c r="S45" s="13">
        <f>SUMIF(Mercado_Receita!$S$2:$S$391,"44743B3ConvencionalNão se aplicaNão se aplicaNão se aplicaNão se aplicaPonta",Mercado_Receita!$L$2:$L$391)+SUMIF(Mercado_Receita!$S$2:$S$391,"44743B3ConvencionalNão se aplicaNão se aplicaNão se aplicaNão se aplicaFora ponta",Mercado_Receita!$L$2:$L$391)+SUMIF(Mercado_Receita!$S$2:$S$391,"44743B3ConvencionalNão se aplicaNão se aplicaNão se aplicaNão se aplicaIntermediário",Mercado_Receita!$L$2:$L$391)+SUMIF(Mercado_Receita!$S$2:$S$391,"44743B3ConvencionalNão se aplicaNão se aplicaNão se aplicaNão se aplicaNão se aplica",Mercado_Receita!$L$2:$L$391)</f>
        <v>237.51900000000003</v>
      </c>
      <c r="T45" s="13">
        <f>SUMIF(Mercado_Receita!$S$2:$S$391,"44774B3ConvencionalNão se aplicaNão se aplicaNão se aplicaNão se aplicaPonta",Mercado_Receita!$L$2:$L$391)+SUMIF(Mercado_Receita!$S$2:$S$391,"44774B3ConvencionalNão se aplicaNão se aplicaNão se aplicaNão se aplicaFora ponta",Mercado_Receita!$L$2:$L$391)+SUMIF(Mercado_Receita!$S$2:$S$391,"44774B3ConvencionalNão se aplicaNão se aplicaNão se aplicaNão se aplicaIntermediário",Mercado_Receita!$L$2:$L$391)+SUMIF(Mercado_Receita!$S$2:$S$391,"44774B3ConvencionalNão se aplicaNão se aplicaNão se aplicaNão se aplicaNão se aplica",Mercado_Receita!$L$2:$L$391)</f>
        <v>237.51900000000003</v>
      </c>
      <c r="U45" s="13">
        <f t="shared" si="0"/>
        <v>3233.996000000001</v>
      </c>
      <c r="V45" s="13"/>
      <c r="W45" s="13"/>
    </row>
    <row r="46" spans="1:23" ht="11.25" customHeight="1" x14ac:dyDescent="0.3">
      <c r="A46" s="78"/>
      <c r="B46" s="12" t="s">
        <v>88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79</v>
      </c>
      <c r="H46" s="13" t="s">
        <v>72</v>
      </c>
      <c r="I46" s="13">
        <f>SUMIF(Mercado_Receita!$S$2:$S$391,"44440B3Convencional pré-pagamentoNão se aplicaNão se aplicaNão se aplicaNão se aplicaPonta",Mercado_Receita!$L$2:$L$391)+SUMIF(Mercado_Receita!$S$2:$S$391,"44440B3Convencional pré-pagamentoNão se aplicaNão se aplicaNão se aplicaNão se aplicaFora ponta",Mercado_Receita!$L$2:$L$391)+SUMIF(Mercado_Receita!$S$2:$S$391,"44440B3Convencional pré-pagamentoNão se aplicaNão se aplicaNão se aplicaNão se aplicaIntermediário",Mercado_Receita!$L$2:$L$391)+SUMIF(Mercado_Receita!$S$2:$S$391,"44440B3Convencional pré-pagamentoNão se aplicaNão se aplicaNão se aplicaNão se aplicaNão se aplica",Mercado_Receita!$L$2:$L$391)</f>
        <v>0</v>
      </c>
      <c r="J46" s="13">
        <f>SUMIF(Mercado_Receita!$S$2:$S$391,"44470B3Convencional pré-pagamentoNão se aplicaNão se aplicaNão se aplicaNão se aplicaPonta",Mercado_Receita!$L$2:$L$391)+SUMIF(Mercado_Receita!$S$2:$S$391,"44470B3Convencional pré-pagamentoNão se aplicaNão se aplicaNão se aplicaNão se aplicaFora ponta",Mercado_Receita!$L$2:$L$391)+SUMIF(Mercado_Receita!$S$2:$S$391,"44470B3Convencional pré-pagamentoNão se aplicaNão se aplicaNão se aplicaNão se aplicaIntermediário",Mercado_Receita!$L$2:$L$391)+SUMIF(Mercado_Receita!$S$2:$S$391,"44470B3Convencional pré-pagamentoNão se aplicaNão se aplicaNão se aplicaNão se aplicaNão se aplica",Mercado_Receita!$L$2:$L$391)</f>
        <v>0</v>
      </c>
      <c r="K46" s="13">
        <f>SUMIF(Mercado_Receita!$S$2:$S$391,"44501B3Convencional pré-pagamentoNão se aplicaNão se aplicaNão se aplicaNão se aplicaPonta",Mercado_Receita!$L$2:$L$391)+SUMIF(Mercado_Receita!$S$2:$S$391,"44501B3Convencional pré-pagamentoNão se aplicaNão se aplicaNão se aplicaNão se aplicaFora ponta",Mercado_Receita!$L$2:$L$391)+SUMIF(Mercado_Receita!$S$2:$S$391,"44501B3Convencional pré-pagamentoNão se aplicaNão se aplicaNão se aplicaNão se aplicaIntermediário",Mercado_Receita!$L$2:$L$391)+SUMIF(Mercado_Receita!$S$2:$S$391,"44501B3Convencional pré-pagamentoNão se aplicaNão se aplicaNão se aplicaNão se aplicaNão se aplica",Mercado_Receita!$L$2:$L$391)</f>
        <v>0</v>
      </c>
      <c r="L46" s="13">
        <f>SUMIF(Mercado_Receita!$S$2:$S$391,"44531B3Convencional pré-pagamentoNão se aplicaNão se aplicaNão se aplicaNão se aplicaPonta",Mercado_Receita!$L$2:$L$391)+SUMIF(Mercado_Receita!$S$2:$S$391,"44531B3Convencional pré-pagamentoNão se aplicaNão se aplicaNão se aplicaNão se aplicaFora ponta",Mercado_Receita!$L$2:$L$391)+SUMIF(Mercado_Receita!$S$2:$S$391,"44531B3Convencional pré-pagamentoNão se aplicaNão se aplicaNão se aplicaNão se aplicaIntermediário",Mercado_Receita!$L$2:$L$391)+SUMIF(Mercado_Receita!$S$2:$S$391,"44531B3Convencional pré-pagamentoNão se aplicaNão se aplicaNão se aplicaNão se aplicaNão se aplica",Mercado_Receita!$L$2:$L$391)</f>
        <v>0</v>
      </c>
      <c r="M46" s="13">
        <f>SUMIF(Mercado_Receita!$S$2:$S$391,"44562B3Convencional pré-pagamentoNão se aplicaNão se aplicaNão se aplicaNão se aplicaPonta",Mercado_Receita!$L$2:$L$391)+SUMIF(Mercado_Receita!$S$2:$S$391,"44562B3Convencional pré-pagamentoNão se aplicaNão se aplicaNão se aplicaNão se aplicaFora ponta",Mercado_Receita!$L$2:$L$391)+SUMIF(Mercado_Receita!$S$2:$S$391,"44562B3Convencional pré-pagamentoNão se aplicaNão se aplicaNão se aplicaNão se aplicaIntermediário",Mercado_Receita!$L$2:$L$391)+SUMIF(Mercado_Receita!$S$2:$S$391,"44562B3Convencional pré-pagamentoNão se aplicaNão se aplicaNão se aplicaNão se aplicaNão se aplica",Mercado_Receita!$L$2:$L$391)</f>
        <v>0</v>
      </c>
      <c r="N46" s="13">
        <f>SUMIF(Mercado_Receita!$S$2:$S$391,"44593B3Convencional pré-pagamentoNão se aplicaNão se aplicaNão se aplicaNão se aplicaPonta",Mercado_Receita!$L$2:$L$391)+SUMIF(Mercado_Receita!$S$2:$S$391,"44593B3Convencional pré-pagamentoNão se aplicaNão se aplicaNão se aplicaNão se aplicaFora ponta",Mercado_Receita!$L$2:$L$391)+SUMIF(Mercado_Receita!$S$2:$S$391,"44593B3Convencional pré-pagamentoNão se aplicaNão se aplicaNão se aplicaNão se aplicaIntermediário",Mercado_Receita!$L$2:$L$391)+SUMIF(Mercado_Receita!$S$2:$S$391,"44593B3Convencional pré-pagamentoNão se aplicaNão se aplicaNão se aplicaNão se aplicaNão se aplica",Mercado_Receita!$L$2:$L$391)</f>
        <v>0</v>
      </c>
      <c r="O46" s="13">
        <f>SUMIF(Mercado_Receita!$S$2:$S$391,"44621B3Convencional pré-pagamentoNão se aplicaNão se aplicaNão se aplicaNão se aplicaPonta",Mercado_Receita!$L$2:$L$391)+SUMIF(Mercado_Receita!$S$2:$S$391,"44621B3Convencional pré-pagamentoNão se aplicaNão se aplicaNão se aplicaNão se aplicaFora ponta",Mercado_Receita!$L$2:$L$391)+SUMIF(Mercado_Receita!$S$2:$S$391,"44621B3Convencional pré-pagamentoNão se aplicaNão se aplicaNão se aplicaNão se aplicaIntermediário",Mercado_Receita!$L$2:$L$391)+SUMIF(Mercado_Receita!$S$2:$S$391,"44621B3Convencional pré-pagamentoNão se aplicaNão se aplicaNão se aplicaNão se aplicaNão se aplica",Mercado_Receita!$L$2:$L$391)</f>
        <v>0</v>
      </c>
      <c r="P46" s="13">
        <f>SUMIF(Mercado_Receita!$S$2:$S$391,"44652B3Convencional pré-pagamentoNão se aplicaNão se aplicaNão se aplicaNão se aplicaPonta",Mercado_Receita!$L$2:$L$391)+SUMIF(Mercado_Receita!$S$2:$S$391,"44652B3Convencional pré-pagamentoNão se aplicaNão se aplicaNão se aplicaNão se aplicaFora ponta",Mercado_Receita!$L$2:$L$391)+SUMIF(Mercado_Receita!$S$2:$S$391,"44652B3Convencional pré-pagamentoNão se aplicaNão se aplicaNão se aplicaNão se aplicaIntermediário",Mercado_Receita!$L$2:$L$391)+SUMIF(Mercado_Receita!$S$2:$S$391,"44652B3Convencional pré-pagamentoNão se aplicaNão se aplicaNão se aplicaNão se aplicaNão se aplica",Mercado_Receita!$L$2:$L$391)</f>
        <v>0</v>
      </c>
      <c r="Q46" s="13">
        <f>SUMIF(Mercado_Receita!$S$2:$S$391,"44682B3Convencional pré-pagamentoNão se aplicaNão se aplicaNão se aplicaNão se aplicaPonta",Mercado_Receita!$L$2:$L$391)+SUMIF(Mercado_Receita!$S$2:$S$391,"44682B3Convencional pré-pagamentoNão se aplicaNão se aplicaNão se aplicaNão se aplicaFora ponta",Mercado_Receita!$L$2:$L$391)+SUMIF(Mercado_Receita!$S$2:$S$391,"44682B3Convencional pré-pagamentoNão se aplicaNão se aplicaNão se aplicaNão se aplicaIntermediário",Mercado_Receita!$L$2:$L$391)+SUMIF(Mercado_Receita!$S$2:$S$391,"44682B3Convencional pré-pagamentoNão se aplicaNão se aplicaNão se aplicaNão se aplicaNão se aplica",Mercado_Receita!$L$2:$L$391)</f>
        <v>0</v>
      </c>
      <c r="R46" s="13">
        <f>SUMIF(Mercado_Receita!$S$2:$S$391,"44713B3Convencional pré-pagamentoNão se aplicaNão se aplicaNão se aplicaNão se aplicaPonta",Mercado_Receita!$L$2:$L$391)+SUMIF(Mercado_Receita!$S$2:$S$391,"44713B3Convencional pré-pagamentoNão se aplicaNão se aplicaNão se aplicaNão se aplicaFora ponta",Mercado_Receita!$L$2:$L$391)+SUMIF(Mercado_Receita!$S$2:$S$391,"44713B3Convencional pré-pagamentoNão se aplicaNão se aplicaNão se aplicaNão se aplicaIntermediário",Mercado_Receita!$L$2:$L$391)+SUMIF(Mercado_Receita!$S$2:$S$391,"44713B3Convencional pré-pagamentoNão se aplicaNão se aplicaNão se aplicaNão se aplicaNão se aplica",Mercado_Receita!$L$2:$L$391)</f>
        <v>0</v>
      </c>
      <c r="S46" s="13">
        <f>SUMIF(Mercado_Receita!$S$2:$S$391,"44743B3Convencional pré-pagamentoNão se aplicaNão se aplicaNão se aplicaNão se aplicaPonta",Mercado_Receita!$L$2:$L$391)+SUMIF(Mercado_Receita!$S$2:$S$391,"44743B3Convencional pré-pagamentoNão se aplicaNão se aplicaNão se aplicaNão se aplicaFora ponta",Mercado_Receita!$L$2:$L$391)+SUMIF(Mercado_Receita!$S$2:$S$391,"44743B3Convencional pré-pagamentoNão se aplicaNão se aplicaNão se aplicaNão se aplicaIntermediário",Mercado_Receita!$L$2:$L$391)+SUMIF(Mercado_Receita!$S$2:$S$391,"44743B3Convencional pré-pagamentoNão se aplicaNão se aplicaNão se aplicaNão se aplicaNão se aplica",Mercado_Receita!$L$2:$L$391)</f>
        <v>0</v>
      </c>
      <c r="T46" s="13">
        <f>SUMIF(Mercado_Receita!$S$2:$S$391,"44774B3Convencional pré-pagamentoNão se aplicaNão se aplicaNão se aplicaNão se aplicaPonta",Mercado_Receita!$L$2:$L$391)+SUMIF(Mercado_Receita!$S$2:$S$391,"44774B3Convencional pré-pagamentoNão se aplicaNão se aplicaNão se aplicaNão se aplicaFora ponta",Mercado_Receita!$L$2:$L$391)+SUMIF(Mercado_Receita!$S$2:$S$391,"44774B3Convencional pré-pagamentoNão se aplicaNão se aplicaNão se aplicaNão se aplicaIntermediário",Mercado_Receita!$L$2:$L$391)+SUMIF(Mercado_Receita!$S$2:$S$391,"44774B3Convencional pré-pagamentoNão se aplicaNão se aplicaNão se aplicaNão se aplicaNão se aplica",Mercado_Receita!$L$2:$L$391)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77" t="s">
        <v>45</v>
      </c>
      <c r="B47" s="77" t="s">
        <v>23</v>
      </c>
      <c r="C47" s="77" t="s">
        <v>46</v>
      </c>
      <c r="D47" s="12" t="s">
        <v>47</v>
      </c>
      <c r="E47" s="12" t="s">
        <v>25</v>
      </c>
      <c r="F47" s="12" t="s">
        <v>25</v>
      </c>
      <c r="G47" s="13" t="s">
        <v>79</v>
      </c>
      <c r="H47" s="13" t="s">
        <v>72</v>
      </c>
      <c r="I47" s="13">
        <f>SUMIF(Mercado_Receita!$S$2:$S$391,"44440B4ConvencionalIluminação públicaIluminação pública – B4aNão se aplicaNão se aplicaPonta",Mercado_Receita!$L$2:$L$391)+SUMIF(Mercado_Receita!$S$2:$S$391,"44440B4ConvencionalIluminação públicaIluminação pública – B4aNão se aplicaNão se aplicaFora ponta",Mercado_Receita!$L$2:$L$391)+SUMIF(Mercado_Receita!$S$2:$S$391,"44440B4ConvencionalIluminação públicaIluminação pública – B4aNão se aplicaNão se aplicaIntermediário",Mercado_Receita!$L$2:$L$391)+SUMIF(Mercado_Receita!$S$2:$S$391,"44440B4ConvencionalIluminação públicaIluminação pública – B4aNão se aplicaNão se aplicaNão se aplica",Mercado_Receita!$L$2:$L$391)</f>
        <v>96.787000000000006</v>
      </c>
      <c r="J47" s="13">
        <f>SUMIF(Mercado_Receita!$S$2:$S$391,"44470B4ConvencionalIluminação públicaIluminação pública – B4aNão se aplicaNão se aplicaPonta",Mercado_Receita!$L$2:$L$391)+SUMIF(Mercado_Receita!$S$2:$S$391,"44470B4ConvencionalIluminação públicaIluminação pública – B4aNão se aplicaNão se aplicaFora ponta",Mercado_Receita!$L$2:$L$391)+SUMIF(Mercado_Receita!$S$2:$S$391,"44470B4ConvencionalIluminação públicaIluminação pública – B4aNão se aplicaNão se aplicaIntermediário",Mercado_Receita!$L$2:$L$391)+SUMIF(Mercado_Receita!$S$2:$S$391,"44470B4ConvencionalIluminação públicaIluminação pública – B4aNão se aplicaNão se aplicaNão se aplica",Mercado_Receita!$L$2:$L$391)</f>
        <v>99.171999999999997</v>
      </c>
      <c r="K47" s="13">
        <f>SUMIF(Mercado_Receita!$S$2:$S$391,"44501B4ConvencionalIluminação públicaIluminação pública – B4aNão se aplicaNão se aplicaPonta",Mercado_Receita!$L$2:$L$391)+SUMIF(Mercado_Receita!$S$2:$S$391,"44501B4ConvencionalIluminação públicaIluminação pública – B4aNão se aplicaNão se aplicaFora ponta",Mercado_Receita!$L$2:$L$391)+SUMIF(Mercado_Receita!$S$2:$S$391,"44501B4ConvencionalIluminação públicaIluminação pública – B4aNão se aplicaNão se aplicaIntermediário",Mercado_Receita!$L$2:$L$391)+SUMIF(Mercado_Receita!$S$2:$S$391,"44501B4ConvencionalIluminação públicaIluminação pública – B4aNão se aplicaNão se aplicaNão se aplica",Mercado_Receita!$L$2:$L$391)</f>
        <v>90.504000000000005</v>
      </c>
      <c r="L47" s="13">
        <f>SUMIF(Mercado_Receita!$S$2:$S$391,"44531B4ConvencionalIluminação públicaIluminação pública – B4aNão se aplicaNão se aplicaPonta",Mercado_Receita!$L$2:$L$391)+SUMIF(Mercado_Receita!$S$2:$S$391,"44531B4ConvencionalIluminação públicaIluminação pública – B4aNão se aplicaNão se aplicaFora ponta",Mercado_Receita!$L$2:$L$391)+SUMIF(Mercado_Receita!$S$2:$S$391,"44531B4ConvencionalIluminação públicaIluminação pública – B4aNão se aplicaNão se aplicaIntermediário",Mercado_Receita!$L$2:$L$391)+SUMIF(Mercado_Receita!$S$2:$S$391,"44531B4ConvencionalIluminação públicaIluminação pública – B4aNão se aplicaNão se aplicaNão se aplica",Mercado_Receita!$L$2:$L$391)</f>
        <v>94.962000000000003</v>
      </c>
      <c r="M47" s="13">
        <f>SUMIF(Mercado_Receita!$S$2:$S$391,"44562B4ConvencionalIluminação públicaIluminação pública – B4aNão se aplicaNão se aplicaPonta",Mercado_Receita!$L$2:$L$391)+SUMIF(Mercado_Receita!$S$2:$S$391,"44562B4ConvencionalIluminação públicaIluminação pública – B4aNão se aplicaNão se aplicaFora ponta",Mercado_Receita!$L$2:$L$391)+SUMIF(Mercado_Receita!$S$2:$S$391,"44562B4ConvencionalIluminação públicaIluminação pública – B4aNão se aplicaNão se aplicaIntermediário",Mercado_Receita!$L$2:$L$391)+SUMIF(Mercado_Receita!$S$2:$S$391,"44562B4ConvencionalIluminação públicaIluminação pública – B4aNão se aplicaNão se aplicaNão se aplica",Mercado_Receita!$L$2:$L$391)</f>
        <v>92.894000000000005</v>
      </c>
      <c r="N47" s="13">
        <f>SUMIF(Mercado_Receita!$S$2:$S$391,"44593B4ConvencionalIluminação públicaIluminação pública – B4aNão se aplicaNão se aplicaPonta",Mercado_Receita!$L$2:$L$391)+SUMIF(Mercado_Receita!$S$2:$S$391,"44593B4ConvencionalIluminação públicaIluminação pública – B4aNão se aplicaNão se aplicaFora ponta",Mercado_Receita!$L$2:$L$391)+SUMIF(Mercado_Receita!$S$2:$S$391,"44593B4ConvencionalIluminação públicaIluminação pública – B4aNão se aplicaNão se aplicaIntermediário",Mercado_Receita!$L$2:$L$391)+SUMIF(Mercado_Receita!$S$2:$S$391,"44593B4ConvencionalIluminação públicaIluminação pública – B4aNão se aplicaNão se aplicaNão se aplica",Mercado_Receita!$L$2:$L$391)</f>
        <v>92.475999999999999</v>
      </c>
      <c r="O47" s="13">
        <f>SUMIF(Mercado_Receita!$S$2:$S$391,"44621B4ConvencionalIluminação públicaIluminação pública – B4aNão se aplicaNão se aplicaPonta",Mercado_Receita!$L$2:$L$391)+SUMIF(Mercado_Receita!$S$2:$S$391,"44621B4ConvencionalIluminação públicaIluminação pública – B4aNão se aplicaNão se aplicaFora ponta",Mercado_Receita!$L$2:$L$391)+SUMIF(Mercado_Receita!$S$2:$S$391,"44621B4ConvencionalIluminação públicaIluminação pública – B4aNão se aplicaNão se aplicaIntermediário",Mercado_Receita!$L$2:$L$391)+SUMIF(Mercado_Receita!$S$2:$S$391,"44621B4ConvencionalIluminação públicaIluminação pública – B4aNão se aplicaNão se aplicaNão se aplica",Mercado_Receita!$L$2:$L$391)</f>
        <v>92.998999999999995</v>
      </c>
      <c r="P47" s="13">
        <f>SUMIF(Mercado_Receita!$S$2:$S$391,"44652B4ConvencionalIluminação públicaIluminação pública – B4aNão se aplicaNão se aplicaPonta",Mercado_Receita!$L$2:$L$391)+SUMIF(Mercado_Receita!$S$2:$S$391,"44652B4ConvencionalIluminação públicaIluminação pública – B4aNão se aplicaNão se aplicaFora ponta",Mercado_Receita!$L$2:$L$391)+SUMIF(Mercado_Receita!$S$2:$S$391,"44652B4ConvencionalIluminação públicaIluminação pública – B4aNão se aplicaNão se aplicaIntermediário",Mercado_Receita!$L$2:$L$391)+SUMIF(Mercado_Receita!$S$2:$S$391,"44652B4ConvencionalIluminação públicaIluminação pública – B4aNão se aplicaNão se aplicaNão se aplica",Mercado_Receita!$L$2:$L$391)</f>
        <v>100.651</v>
      </c>
      <c r="Q47" s="13">
        <f>SUMIF(Mercado_Receita!$S$2:$S$391,"44682B4ConvencionalIluminação públicaIluminação pública – B4aNão se aplicaNão se aplicaPonta",Mercado_Receita!$L$2:$L$391)+SUMIF(Mercado_Receita!$S$2:$S$391,"44682B4ConvencionalIluminação públicaIluminação pública – B4aNão se aplicaNão se aplicaFora ponta",Mercado_Receita!$L$2:$L$391)+SUMIF(Mercado_Receita!$S$2:$S$391,"44682B4ConvencionalIluminação públicaIluminação pública – B4aNão se aplicaNão se aplicaIntermediário",Mercado_Receita!$L$2:$L$391)+SUMIF(Mercado_Receita!$S$2:$S$391,"44682B4ConvencionalIluminação públicaIluminação pública – B4aNão se aplicaNão se aplicaNão se aplica",Mercado_Receita!$L$2:$L$391)</f>
        <v>103.706</v>
      </c>
      <c r="R47" s="13">
        <f>SUMIF(Mercado_Receita!$S$2:$S$391,"44713B4ConvencionalIluminação públicaIluminação pública – B4aNão se aplicaNão se aplicaPonta",Mercado_Receita!$L$2:$L$391)+SUMIF(Mercado_Receita!$S$2:$S$391,"44713B4ConvencionalIluminação públicaIluminação pública – B4aNão se aplicaNão se aplicaFora ponta",Mercado_Receita!$L$2:$L$391)+SUMIF(Mercado_Receita!$S$2:$S$391,"44713B4ConvencionalIluminação públicaIluminação pública – B4aNão se aplicaNão se aplicaIntermediário",Mercado_Receita!$L$2:$L$391)+SUMIF(Mercado_Receita!$S$2:$S$391,"44713B4ConvencionalIluminação públicaIluminação pública – B4aNão se aplicaNão se aplicaNão se aplica",Mercado_Receita!$L$2:$L$391)</f>
        <v>110.32899999999999</v>
      </c>
      <c r="S47" s="13">
        <f>SUMIF(Mercado_Receita!$S$2:$S$391,"44743B4ConvencionalIluminação públicaIluminação pública – B4aNão se aplicaNão se aplicaPonta",Mercado_Receita!$L$2:$L$391)+SUMIF(Mercado_Receita!$S$2:$S$391,"44743B4ConvencionalIluminação públicaIluminação pública – B4aNão se aplicaNão se aplicaFora ponta",Mercado_Receita!$L$2:$L$391)+SUMIF(Mercado_Receita!$S$2:$S$391,"44743B4ConvencionalIluminação públicaIluminação pública – B4aNão se aplicaNão se aplicaIntermediário",Mercado_Receita!$L$2:$L$391)+SUMIF(Mercado_Receita!$S$2:$S$391,"44743B4ConvencionalIluminação públicaIluminação pública – B4aNão se aplicaNão se aplicaNão se aplica",Mercado_Receita!$L$2:$L$391)</f>
        <v>117.774</v>
      </c>
      <c r="T47" s="13">
        <f>SUMIF(Mercado_Receita!$S$2:$S$391,"44774B4ConvencionalIluminação públicaIluminação pública – B4aNão se aplicaNão se aplicaPonta",Mercado_Receita!$L$2:$L$391)+SUMIF(Mercado_Receita!$S$2:$S$391,"44774B4ConvencionalIluminação públicaIluminação pública – B4aNão se aplicaNão se aplicaFora ponta",Mercado_Receita!$L$2:$L$391)+SUMIF(Mercado_Receita!$S$2:$S$391,"44774B4ConvencionalIluminação públicaIluminação pública – B4aNão se aplicaNão se aplicaIntermediário",Mercado_Receita!$L$2:$L$391)+SUMIF(Mercado_Receita!$S$2:$S$391,"44774B4ConvencionalIluminação públicaIluminação pública – B4aNão se aplicaNão se aplicaNão se aplica",Mercado_Receita!$L$2:$L$391)</f>
        <v>117.774</v>
      </c>
      <c r="U47" s="13">
        <f t="shared" si="0"/>
        <v>1210.0279999999998</v>
      </c>
      <c r="V47" s="13"/>
      <c r="W47" s="13"/>
    </row>
    <row r="48" spans="1:23" ht="11.25" customHeight="1" x14ac:dyDescent="0.3">
      <c r="A48" s="78"/>
      <c r="B48" s="78"/>
      <c r="C48" s="78"/>
      <c r="D48" s="13" t="s">
        <v>91</v>
      </c>
      <c r="E48" s="13" t="s">
        <v>25</v>
      </c>
      <c r="F48" s="13" t="s">
        <v>25</v>
      </c>
      <c r="G48" s="13" t="s">
        <v>79</v>
      </c>
      <c r="H48" s="13" t="s">
        <v>72</v>
      </c>
      <c r="I48" s="13">
        <f>SUMIF(Mercado_Receita!$S$2:$S$391,"44440B4ConvencionalIluminação públicaIluminação pública – B4bNão se aplicaNão se aplicaPonta",Mercado_Receita!$L$2:$L$391)+SUMIF(Mercado_Receita!$S$2:$S$391,"44440B4ConvencionalIluminação públicaIluminação pública – B4bNão se aplicaNão se aplicaFora ponta",Mercado_Receita!$L$2:$L$391)+SUMIF(Mercado_Receita!$S$2:$S$391,"44440B4ConvencionalIluminação públicaIluminação pública – B4bNão se aplicaNão se aplicaIntermediário",Mercado_Receita!$L$2:$L$391)+SUMIF(Mercado_Receita!$S$2:$S$391,"44440B4ConvencionalIluminação públicaIluminação pública – B4bNão se aplicaNão se aplicaNão se aplica",Mercado_Receita!$L$2:$L$391)</f>
        <v>0</v>
      </c>
      <c r="J48" s="13">
        <f>SUMIF(Mercado_Receita!$S$2:$S$391,"44470B4ConvencionalIluminação públicaIluminação pública – B4bNão se aplicaNão se aplicaPonta",Mercado_Receita!$L$2:$L$391)+SUMIF(Mercado_Receita!$S$2:$S$391,"44470B4ConvencionalIluminação públicaIluminação pública – B4bNão se aplicaNão se aplicaFora ponta",Mercado_Receita!$L$2:$L$391)+SUMIF(Mercado_Receita!$S$2:$S$391,"44470B4ConvencionalIluminação públicaIluminação pública – B4bNão se aplicaNão se aplicaIntermediário",Mercado_Receita!$L$2:$L$391)+SUMIF(Mercado_Receita!$S$2:$S$391,"44470B4ConvencionalIluminação públicaIluminação pública – B4bNão se aplicaNão se aplicaNão se aplica",Mercado_Receita!$L$2:$L$391)</f>
        <v>0</v>
      </c>
      <c r="K48" s="13">
        <f>SUMIF(Mercado_Receita!$S$2:$S$391,"44501B4ConvencionalIluminação públicaIluminação pública – B4bNão se aplicaNão se aplicaPonta",Mercado_Receita!$L$2:$L$391)+SUMIF(Mercado_Receita!$S$2:$S$391,"44501B4ConvencionalIluminação públicaIluminação pública – B4bNão se aplicaNão se aplicaFora ponta",Mercado_Receita!$L$2:$L$391)+SUMIF(Mercado_Receita!$S$2:$S$391,"44501B4ConvencionalIluminação públicaIluminação pública – B4bNão se aplicaNão se aplicaIntermediário",Mercado_Receita!$L$2:$L$391)+SUMIF(Mercado_Receita!$S$2:$S$391,"44501B4ConvencionalIluminação públicaIluminação pública – B4bNão se aplicaNão se aplicaNão se aplica",Mercado_Receita!$L$2:$L$391)</f>
        <v>0</v>
      </c>
      <c r="L48" s="13">
        <f>SUMIF(Mercado_Receita!$S$2:$S$391,"44531B4ConvencionalIluminação públicaIluminação pública – B4bNão se aplicaNão se aplicaPonta",Mercado_Receita!$L$2:$L$391)+SUMIF(Mercado_Receita!$S$2:$S$391,"44531B4ConvencionalIluminação públicaIluminação pública – B4bNão se aplicaNão se aplicaFora ponta",Mercado_Receita!$L$2:$L$391)+SUMIF(Mercado_Receita!$S$2:$S$391,"44531B4ConvencionalIluminação públicaIluminação pública – B4bNão se aplicaNão se aplicaIntermediário",Mercado_Receita!$L$2:$L$391)+SUMIF(Mercado_Receita!$S$2:$S$391,"44531B4ConvencionalIluminação públicaIluminação pública – B4bNão se aplicaNão se aplicaNão se aplica",Mercado_Receita!$L$2:$L$391)</f>
        <v>0</v>
      </c>
      <c r="M48" s="13">
        <f>SUMIF(Mercado_Receita!$S$2:$S$391,"44562B4ConvencionalIluminação públicaIluminação pública – B4bNão se aplicaNão se aplicaPonta",Mercado_Receita!$L$2:$L$391)+SUMIF(Mercado_Receita!$S$2:$S$391,"44562B4ConvencionalIluminação públicaIluminação pública – B4bNão se aplicaNão se aplicaFora ponta",Mercado_Receita!$L$2:$L$391)+SUMIF(Mercado_Receita!$S$2:$S$391,"44562B4ConvencionalIluminação públicaIluminação pública – B4bNão se aplicaNão se aplicaIntermediário",Mercado_Receita!$L$2:$L$391)+SUMIF(Mercado_Receita!$S$2:$S$391,"44562B4ConvencionalIluminação públicaIluminação pública – B4bNão se aplicaNão se aplicaNão se aplica",Mercado_Receita!$L$2:$L$391)</f>
        <v>0</v>
      </c>
      <c r="N48" s="13">
        <f>SUMIF(Mercado_Receita!$S$2:$S$391,"44593B4ConvencionalIluminação públicaIluminação pública – B4bNão se aplicaNão se aplicaPonta",Mercado_Receita!$L$2:$L$391)+SUMIF(Mercado_Receita!$S$2:$S$391,"44593B4ConvencionalIluminação públicaIluminação pública – B4bNão se aplicaNão se aplicaFora ponta",Mercado_Receita!$L$2:$L$391)+SUMIF(Mercado_Receita!$S$2:$S$391,"44593B4ConvencionalIluminação públicaIluminação pública – B4bNão se aplicaNão se aplicaIntermediário",Mercado_Receita!$L$2:$L$391)+SUMIF(Mercado_Receita!$S$2:$S$391,"44593B4ConvencionalIluminação públicaIluminação pública – B4bNão se aplicaNão se aplicaNão se aplica",Mercado_Receita!$L$2:$L$391)</f>
        <v>0</v>
      </c>
      <c r="O48" s="13">
        <f>SUMIF(Mercado_Receita!$S$2:$S$391,"44621B4ConvencionalIluminação públicaIluminação pública – B4bNão se aplicaNão se aplicaPonta",Mercado_Receita!$L$2:$L$391)+SUMIF(Mercado_Receita!$S$2:$S$391,"44621B4ConvencionalIluminação públicaIluminação pública – B4bNão se aplicaNão se aplicaFora ponta",Mercado_Receita!$L$2:$L$391)+SUMIF(Mercado_Receita!$S$2:$S$391,"44621B4ConvencionalIluminação públicaIluminação pública – B4bNão se aplicaNão se aplicaIntermediário",Mercado_Receita!$L$2:$L$391)+SUMIF(Mercado_Receita!$S$2:$S$391,"44621B4ConvencionalIluminação públicaIluminação pública – B4bNão se aplicaNão se aplicaNão se aplica",Mercado_Receita!$L$2:$L$391)</f>
        <v>0</v>
      </c>
      <c r="P48" s="13">
        <f>SUMIF(Mercado_Receita!$S$2:$S$391,"44652B4ConvencionalIluminação públicaIluminação pública – B4bNão se aplicaNão se aplicaPonta",Mercado_Receita!$L$2:$L$391)+SUMIF(Mercado_Receita!$S$2:$S$391,"44652B4ConvencionalIluminação públicaIluminação pública – B4bNão se aplicaNão se aplicaFora ponta",Mercado_Receita!$L$2:$L$391)+SUMIF(Mercado_Receita!$S$2:$S$391,"44652B4ConvencionalIluminação públicaIluminação pública – B4bNão se aplicaNão se aplicaIntermediário",Mercado_Receita!$L$2:$L$391)+SUMIF(Mercado_Receita!$S$2:$S$391,"44652B4ConvencionalIluminação públicaIluminação pública – B4bNão se aplicaNão se aplicaNão se aplica",Mercado_Receita!$L$2:$L$391)</f>
        <v>0</v>
      </c>
      <c r="Q48" s="13">
        <f>SUMIF(Mercado_Receita!$S$2:$S$391,"44682B4ConvencionalIluminação públicaIluminação pública – B4bNão se aplicaNão se aplicaPonta",Mercado_Receita!$L$2:$L$391)+SUMIF(Mercado_Receita!$S$2:$S$391,"44682B4ConvencionalIluminação públicaIluminação pública – B4bNão se aplicaNão se aplicaFora ponta",Mercado_Receita!$L$2:$L$391)+SUMIF(Mercado_Receita!$S$2:$S$391,"44682B4ConvencionalIluminação públicaIluminação pública – B4bNão se aplicaNão se aplicaIntermediário",Mercado_Receita!$L$2:$L$391)+SUMIF(Mercado_Receita!$S$2:$S$391,"44682B4ConvencionalIluminação públicaIluminação pública – B4bNão se aplicaNão se aplicaNão se aplica",Mercado_Receita!$L$2:$L$391)</f>
        <v>0</v>
      </c>
      <c r="R48" s="13">
        <f>SUMIF(Mercado_Receita!$S$2:$S$391,"44713B4ConvencionalIluminação públicaIluminação pública – B4bNão se aplicaNão se aplicaPonta",Mercado_Receita!$L$2:$L$391)+SUMIF(Mercado_Receita!$S$2:$S$391,"44713B4ConvencionalIluminação públicaIluminação pública – B4bNão se aplicaNão se aplicaFora ponta",Mercado_Receita!$L$2:$L$391)+SUMIF(Mercado_Receita!$S$2:$S$391,"44713B4ConvencionalIluminação públicaIluminação pública – B4bNão se aplicaNão se aplicaIntermediário",Mercado_Receita!$L$2:$L$391)+SUMIF(Mercado_Receita!$S$2:$S$391,"44713B4ConvencionalIluminação públicaIluminação pública – B4bNão se aplicaNão se aplicaNão se aplica",Mercado_Receita!$L$2:$L$391)</f>
        <v>0</v>
      </c>
      <c r="S48" s="13">
        <f>SUMIF(Mercado_Receita!$S$2:$S$391,"44743B4ConvencionalIluminação públicaIluminação pública – B4bNão se aplicaNão se aplicaPonta",Mercado_Receita!$L$2:$L$391)+SUMIF(Mercado_Receita!$S$2:$S$391,"44743B4ConvencionalIluminação públicaIluminação pública – B4bNão se aplicaNão se aplicaFora ponta",Mercado_Receita!$L$2:$L$391)+SUMIF(Mercado_Receita!$S$2:$S$391,"44743B4ConvencionalIluminação públicaIluminação pública – B4bNão se aplicaNão se aplicaIntermediário",Mercado_Receita!$L$2:$L$391)+SUMIF(Mercado_Receita!$S$2:$S$391,"44743B4ConvencionalIluminação públicaIluminação pública – B4bNão se aplicaNão se aplicaNão se aplica",Mercado_Receita!$L$2:$L$391)</f>
        <v>0</v>
      </c>
      <c r="T48" s="13">
        <f>SUMIF(Mercado_Receita!$S$2:$S$391,"44774B4ConvencionalIluminação públicaIluminação pública – B4bNão se aplicaNão se aplicaPonta",Mercado_Receita!$L$2:$L$391)+SUMIF(Mercado_Receita!$S$2:$S$391,"44774B4ConvencionalIluminação públicaIluminação pública – B4bNão se aplicaNão se aplicaFora ponta",Mercado_Receita!$L$2:$L$391)+SUMIF(Mercado_Receita!$S$2:$S$391,"44774B4ConvencionalIluminação públicaIluminação pública – B4bNão se aplicaNão se aplicaIntermediário",Mercado_Receita!$L$2:$L$391)+SUMIF(Mercado_Receita!$S$2:$S$391,"44774B4ConvencionalIluminação públicaIluminação pública – B4bNão se aplicaNão se aplicaNão se aplica",Mercado_Receita!$L$2:$L$391)</f>
        <v>0</v>
      </c>
      <c r="U48" s="13">
        <f t="shared" si="0"/>
        <v>0</v>
      </c>
      <c r="V48" s="13"/>
      <c r="W48" s="13"/>
    </row>
    <row r="49" spans="1:23" ht="11.25" customHeight="1" x14ac:dyDescent="0.3">
      <c r="A49" s="79" t="s">
        <v>422</v>
      </c>
      <c r="B49" s="80"/>
      <c r="C49" s="80"/>
      <c r="D49" s="80"/>
      <c r="E49" s="80"/>
      <c r="F49" s="80"/>
      <c r="G49" s="80"/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6338-8470-44C3-8F04-7E88E94A1BFC}">
  <dimension ref="A1:AD39"/>
  <sheetViews>
    <sheetView showGridLines="0" workbookViewId="0">
      <selection sqref="A1:W39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20" width="7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62</v>
      </c>
      <c r="B1" s="10" t="s">
        <v>63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70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7" t="s">
        <v>35</v>
      </c>
      <c r="B2" s="77" t="s">
        <v>71</v>
      </c>
      <c r="C2" s="77" t="s">
        <v>25</v>
      </c>
      <c r="D2" s="77" t="s">
        <v>25</v>
      </c>
      <c r="E2" s="77" t="s">
        <v>25</v>
      </c>
      <c r="F2" s="77" t="s">
        <v>25</v>
      </c>
      <c r="G2" s="13" t="s">
        <v>73</v>
      </c>
      <c r="H2" s="13" t="s">
        <v>72</v>
      </c>
      <c r="I2" s="13">
        <f>SUMIF(Mercado_Receita!$T$2:$T$391,"44440A4Energia horáriaNão se aplicaNão se aplicaNão se aplicaNão se aplicaPonta",Mercado_Receita!$N$2:$N$391)</f>
        <v>127.592</v>
      </c>
      <c r="J2" s="13">
        <f>SUMIF(Mercado_Receita!$T$2:$T$391,"44470A4Energia horáriaNão se aplicaNão se aplicaNão se aplicaNão se aplicaPonta",Mercado_Receita!$N$2:$N$391)</f>
        <v>117.67699999999999</v>
      </c>
      <c r="K2" s="13">
        <f>SUMIF(Mercado_Receita!$T$2:$T$391,"44501A4Energia horáriaNão se aplicaNão se aplicaNão se aplicaNão se aplicaPonta",Mercado_Receita!$N$2:$N$391)</f>
        <v>120.59599999999999</v>
      </c>
      <c r="L2" s="13">
        <f>SUMIF(Mercado_Receita!$T$2:$T$391,"44531A4Energia horáriaNão se aplicaNão se aplicaNão se aplicaNão se aplicaPonta",Mercado_Receita!$N$2:$N$391)</f>
        <v>141.52799999999999</v>
      </c>
      <c r="M2" s="13">
        <f>SUMIF(Mercado_Receita!$T$2:$T$391,"44562A4Energia horáriaNão se aplicaNão se aplicaNão se aplicaNão se aplicaPonta",Mercado_Receita!$N$2:$N$391)</f>
        <v>153.22799999999998</v>
      </c>
      <c r="N2" s="13">
        <f>SUMIF(Mercado_Receita!$T$2:$T$391,"44593A4Energia horáriaNão se aplicaNão se aplicaNão se aplicaNão se aplicaPonta",Mercado_Receita!$N$2:$N$391)</f>
        <v>151.77500000000001</v>
      </c>
      <c r="O2" s="13">
        <f>SUMIF(Mercado_Receita!$T$2:$T$391,"44621A4Energia horáriaNão se aplicaNão se aplicaNão se aplicaNão se aplicaPonta",Mercado_Receita!$N$2:$N$391)</f>
        <v>141.54599999999999</v>
      </c>
      <c r="P2" s="13">
        <f>SUMIF(Mercado_Receita!$T$2:$T$391,"44652A4Energia horáriaNão se aplicaNão se aplicaNão se aplicaNão se aplicaPonta",Mercado_Receita!$N$2:$N$391)</f>
        <v>116.95100000000001</v>
      </c>
      <c r="Q2" s="13">
        <f>SUMIF(Mercado_Receita!$T$2:$T$391,"44682A4Energia horáriaNão se aplicaNão se aplicaNão se aplicaNão se aplicaPonta",Mercado_Receita!$N$2:$N$391)</f>
        <v>139.4</v>
      </c>
      <c r="R2" s="13">
        <f>SUMIF(Mercado_Receita!$T$2:$T$391,"44713A4Energia horáriaNão se aplicaNão se aplicaNão se aplicaNão se aplicaPonta",Mercado_Receita!$N$2:$N$391)</f>
        <v>112.209</v>
      </c>
      <c r="S2" s="13">
        <f>SUMIF(Mercado_Receita!$T$2:$T$391,"44743A4Energia horáriaNão se aplicaNão se aplicaNão se aplicaNão se aplicaPonta",Mercado_Receita!$N$2:$N$391)</f>
        <v>117.35</v>
      </c>
      <c r="T2" s="13">
        <f>SUMIF(Mercado_Receita!$T$2:$T$391,"44774A4Energia horáriaNão se aplicaNão se aplicaNão se aplicaNão se aplicaPonta",Mercado_Receita!$N$2:$N$391)</f>
        <v>117.35</v>
      </c>
      <c r="U2" s="13">
        <f t="shared" ref="U2:U38" si="0">SUM(I2:T2)</f>
        <v>1557.202</v>
      </c>
      <c r="V2" s="13"/>
      <c r="W2" s="13"/>
    </row>
    <row r="3" spans="1:30" ht="11.25" customHeight="1" x14ac:dyDescent="0.3">
      <c r="A3" s="78"/>
      <c r="B3" s="78"/>
      <c r="C3" s="78"/>
      <c r="D3" s="78"/>
      <c r="E3" s="78"/>
      <c r="F3" s="78"/>
      <c r="G3" s="13" t="s">
        <v>74</v>
      </c>
      <c r="H3" s="13" t="s">
        <v>72</v>
      </c>
      <c r="I3" s="13">
        <f>SUMIF(Mercado_Receita!$T$2:$T$391,"44440A4Energia horáriaNão se aplicaNão se aplicaNão se aplicaNão se aplicaFora ponta",Mercado_Receita!$N$2:$N$391)</f>
        <v>1503.81</v>
      </c>
      <c r="J3" s="13">
        <f>SUMIF(Mercado_Receita!$T$2:$T$391,"44470A4Energia horáriaNão se aplicaNão se aplicaNão se aplicaNão se aplicaFora ponta",Mercado_Receita!$N$2:$N$391)</f>
        <v>1515.471</v>
      </c>
      <c r="K3" s="13">
        <f>SUMIF(Mercado_Receita!$T$2:$T$391,"44501A4Energia horáriaNão se aplicaNão se aplicaNão se aplicaNão se aplicaFora ponta",Mercado_Receita!$N$2:$N$391)</f>
        <v>1552.3679999999999</v>
      </c>
      <c r="L3" s="13">
        <f>SUMIF(Mercado_Receita!$T$2:$T$391,"44531A4Energia horáriaNão se aplicaNão se aplicaNão se aplicaNão se aplicaFora ponta",Mercado_Receita!$N$2:$N$391)</f>
        <v>1623.1560000000002</v>
      </c>
      <c r="M3" s="13">
        <f>SUMIF(Mercado_Receita!$T$2:$T$391,"44562A4Energia horáriaNão se aplicaNão se aplicaNão se aplicaNão se aplicaFora ponta",Mercado_Receita!$N$2:$N$391)</f>
        <v>1740.9970000000001</v>
      </c>
      <c r="N3" s="13">
        <f>SUMIF(Mercado_Receita!$T$2:$T$391,"44593A4Energia horáriaNão se aplicaNão se aplicaNão se aplicaNão se aplicaFora ponta",Mercado_Receita!$N$2:$N$391)</f>
        <v>2004.454</v>
      </c>
      <c r="O3" s="13">
        <f>SUMIF(Mercado_Receita!$T$2:$T$391,"44621A4Energia horáriaNão se aplicaNão se aplicaNão se aplicaNão se aplicaFora ponta",Mercado_Receita!$N$2:$N$391)</f>
        <v>2742.4449999999997</v>
      </c>
      <c r="P3" s="13">
        <f>SUMIF(Mercado_Receita!$T$2:$T$391,"44652A4Energia horáriaNão se aplicaNão se aplicaNão se aplicaNão se aplicaFora ponta",Mercado_Receita!$N$2:$N$391)</f>
        <v>2362.3919999999998</v>
      </c>
      <c r="Q3" s="13">
        <f>SUMIF(Mercado_Receita!$T$2:$T$391,"44682A4Energia horáriaNão se aplicaNão se aplicaNão se aplicaNão se aplicaFora ponta",Mercado_Receita!$N$2:$N$391)</f>
        <v>2291.9360000000001</v>
      </c>
      <c r="R3" s="13">
        <f>SUMIF(Mercado_Receita!$T$2:$T$391,"44713A4Energia horáriaNão se aplicaNão se aplicaNão se aplicaNão se aplicaFora ponta",Mercado_Receita!$N$2:$N$391)</f>
        <v>2063.183</v>
      </c>
      <c r="S3" s="13">
        <f>SUMIF(Mercado_Receita!$T$2:$T$391,"44743A4Energia horáriaNão se aplicaNão se aplicaNão se aplicaNão se aplicaFora ponta",Mercado_Receita!$N$2:$N$391)</f>
        <v>2013.6310000000001</v>
      </c>
      <c r="T3" s="13">
        <f>SUMIF(Mercado_Receita!$T$2:$T$391,"44774A4Energia horáriaNão se aplicaNão se aplicaNão se aplicaNão se aplicaFora ponta",Mercado_Receita!$N$2:$N$391)</f>
        <v>2013.6310000000001</v>
      </c>
      <c r="U3" s="13">
        <f t="shared" si="0"/>
        <v>23427.474000000002</v>
      </c>
      <c r="V3" s="13"/>
      <c r="W3" s="13"/>
    </row>
    <row r="4" spans="1:30" ht="11.25" customHeight="1" x14ac:dyDescent="0.3">
      <c r="A4" s="77" t="s">
        <v>22</v>
      </c>
      <c r="B4" s="77" t="s">
        <v>71</v>
      </c>
      <c r="C4" s="77" t="s">
        <v>24</v>
      </c>
      <c r="D4" s="77" t="s">
        <v>24</v>
      </c>
      <c r="E4" s="77" t="s">
        <v>25</v>
      </c>
      <c r="F4" s="77" t="s">
        <v>25</v>
      </c>
      <c r="G4" s="13" t="s">
        <v>73</v>
      </c>
      <c r="H4" s="13" t="s">
        <v>72</v>
      </c>
      <c r="I4" s="13">
        <f>SUMIF(Mercado_Receita!$T$2:$T$391,"44440B1Energia horáriaResidencialResidencialNão se aplicaNão se aplicaPonta",Mercado_Receita!$N$2:$N$391)</f>
        <v>0</v>
      </c>
      <c r="J4" s="13">
        <f>SUMIF(Mercado_Receita!$T$2:$T$391,"44470B1Energia horáriaResidencialResidencialNão se aplicaNão se aplicaPonta",Mercado_Receita!$N$2:$N$391)</f>
        <v>0</v>
      </c>
      <c r="K4" s="13">
        <f>SUMIF(Mercado_Receita!$T$2:$T$391,"44501B1Energia horáriaResidencialResidencialNão se aplicaNão se aplicaPonta",Mercado_Receita!$N$2:$N$391)</f>
        <v>0</v>
      </c>
      <c r="L4" s="13">
        <f>SUMIF(Mercado_Receita!$T$2:$T$391,"44531B1Energia horáriaResidencialResidencialNão se aplicaNão se aplicaPonta",Mercado_Receita!$N$2:$N$391)</f>
        <v>0</v>
      </c>
      <c r="M4" s="13">
        <f>SUMIF(Mercado_Receita!$T$2:$T$391,"44562B1Energia horáriaResidencialResidencialNão se aplicaNão se aplicaPonta",Mercado_Receita!$N$2:$N$391)</f>
        <v>0</v>
      </c>
      <c r="N4" s="13">
        <f>SUMIF(Mercado_Receita!$T$2:$T$391,"44593B1Energia horáriaResidencialResidencialNão se aplicaNão se aplicaPonta",Mercado_Receita!$N$2:$N$391)</f>
        <v>0</v>
      </c>
      <c r="O4" s="13">
        <f>SUMIF(Mercado_Receita!$T$2:$T$391,"44621B1Energia horáriaResidencialResidencialNão se aplicaNão se aplicaPonta",Mercado_Receita!$N$2:$N$391)</f>
        <v>0</v>
      </c>
      <c r="P4" s="13">
        <f>SUMIF(Mercado_Receita!$T$2:$T$391,"44652B1Energia horáriaResidencialResidencialNão se aplicaNão se aplicaPonta",Mercado_Receita!$N$2:$N$391)</f>
        <v>0</v>
      </c>
      <c r="Q4" s="13">
        <f>SUMIF(Mercado_Receita!$T$2:$T$391,"44682B1Energia horáriaResidencialResidencialNão se aplicaNão se aplicaPonta",Mercado_Receita!$N$2:$N$391)</f>
        <v>0</v>
      </c>
      <c r="R4" s="13">
        <f>SUMIF(Mercado_Receita!$T$2:$T$391,"44713B1Energia horáriaResidencialResidencialNão se aplicaNão se aplicaPonta",Mercado_Receita!$N$2:$N$391)</f>
        <v>0</v>
      </c>
      <c r="S4" s="13">
        <f>SUMIF(Mercado_Receita!$T$2:$T$391,"44743B1Energia horáriaResidencialResidencialNão se aplicaNão se aplicaPonta",Mercado_Receita!$N$2:$N$391)</f>
        <v>0</v>
      </c>
      <c r="T4" s="13">
        <f>SUMIF(Mercado_Receita!$T$2:$T$391,"44774B1Energia horáriaResidencialResidencialNão se aplicaNão se aplicaPonta",Mercado_Receita!$N$2:$N$391)</f>
        <v>0</v>
      </c>
      <c r="U4" s="13">
        <f t="shared" si="0"/>
        <v>0</v>
      </c>
      <c r="V4" s="13"/>
      <c r="W4" s="13"/>
    </row>
    <row r="5" spans="1:30" ht="11.25" customHeight="1" x14ac:dyDescent="0.3">
      <c r="A5" s="78"/>
      <c r="B5" s="78"/>
      <c r="C5" s="78"/>
      <c r="D5" s="78"/>
      <c r="E5" s="78"/>
      <c r="F5" s="78"/>
      <c r="G5" s="13" t="s">
        <v>85</v>
      </c>
      <c r="H5" s="13" t="s">
        <v>72</v>
      </c>
      <c r="I5" s="13">
        <f>SUMIF(Mercado_Receita!$T$2:$T$391,"44440B1Energia horáriaResidencialResidencialNão se aplicaNão se aplicaIntermediário",Mercado_Receita!$N$2:$N$391)</f>
        <v>0</v>
      </c>
      <c r="J5" s="13">
        <f>SUMIF(Mercado_Receita!$T$2:$T$391,"44470B1Energia horáriaResidencialResidencialNão se aplicaNão se aplicaIntermediário",Mercado_Receita!$N$2:$N$391)</f>
        <v>0</v>
      </c>
      <c r="K5" s="13">
        <f>SUMIF(Mercado_Receita!$T$2:$T$391,"44501B1Energia horáriaResidencialResidencialNão se aplicaNão se aplicaIntermediário",Mercado_Receita!$N$2:$N$391)</f>
        <v>0</v>
      </c>
      <c r="L5" s="13">
        <f>SUMIF(Mercado_Receita!$T$2:$T$391,"44531B1Energia horáriaResidencialResidencialNão se aplicaNão se aplicaIntermediário",Mercado_Receita!$N$2:$N$391)</f>
        <v>0</v>
      </c>
      <c r="M5" s="13">
        <f>SUMIF(Mercado_Receita!$T$2:$T$391,"44562B1Energia horáriaResidencialResidencialNão se aplicaNão se aplicaIntermediário",Mercado_Receita!$N$2:$N$391)</f>
        <v>0</v>
      </c>
      <c r="N5" s="13">
        <f>SUMIF(Mercado_Receita!$T$2:$T$391,"44593B1Energia horáriaResidencialResidencialNão se aplicaNão se aplicaIntermediário",Mercado_Receita!$N$2:$N$391)</f>
        <v>0</v>
      </c>
      <c r="O5" s="13">
        <f>SUMIF(Mercado_Receita!$T$2:$T$391,"44621B1Energia horáriaResidencialResidencialNão se aplicaNão se aplicaIntermediário",Mercado_Receita!$N$2:$N$391)</f>
        <v>0</v>
      </c>
      <c r="P5" s="13">
        <f>SUMIF(Mercado_Receita!$T$2:$T$391,"44652B1Energia horáriaResidencialResidencialNão se aplicaNão se aplicaIntermediário",Mercado_Receita!$N$2:$N$391)</f>
        <v>0</v>
      </c>
      <c r="Q5" s="13">
        <f>SUMIF(Mercado_Receita!$T$2:$T$391,"44682B1Energia horáriaResidencialResidencialNão se aplicaNão se aplicaIntermediário",Mercado_Receita!$N$2:$N$391)</f>
        <v>0</v>
      </c>
      <c r="R5" s="13">
        <f>SUMIF(Mercado_Receita!$T$2:$T$391,"44713B1Energia horáriaResidencialResidencialNão se aplicaNão se aplicaIntermediário",Mercado_Receita!$N$2:$N$391)</f>
        <v>0</v>
      </c>
      <c r="S5" s="13">
        <f>SUMIF(Mercado_Receita!$T$2:$T$391,"44743B1Energia horáriaResidencialResidencialNão se aplicaNão se aplicaIntermediário",Mercado_Receita!$N$2:$N$391)</f>
        <v>0</v>
      </c>
      <c r="T5" s="13">
        <f>SUMIF(Mercado_Receita!$T$2:$T$391,"44774B1Energia horáriaResidencialResidencialNão se aplicaNão se aplicaIntermediário",Mercado_Receita!$N$2:$N$391)</f>
        <v>0</v>
      </c>
      <c r="U5" s="13">
        <f t="shared" si="0"/>
        <v>0</v>
      </c>
      <c r="V5" s="13"/>
      <c r="W5" s="13"/>
    </row>
    <row r="6" spans="1:30" ht="11.25" customHeight="1" x14ac:dyDescent="0.3">
      <c r="A6" s="78"/>
      <c r="B6" s="78"/>
      <c r="C6" s="78"/>
      <c r="D6" s="78"/>
      <c r="E6" s="78"/>
      <c r="F6" s="78"/>
      <c r="G6" s="13" t="s">
        <v>74</v>
      </c>
      <c r="H6" s="13" t="s">
        <v>72</v>
      </c>
      <c r="I6" s="13">
        <f>SUMIF(Mercado_Receita!$T$2:$T$391,"44440B1Energia horáriaResidencialResidencialNão se aplicaNão se aplicaFora ponta",Mercado_Receita!$N$2:$N$391)</f>
        <v>0</v>
      </c>
      <c r="J6" s="13">
        <f>SUMIF(Mercado_Receita!$T$2:$T$391,"44470B1Energia horáriaResidencialResidencialNão se aplicaNão se aplicaFora ponta",Mercado_Receita!$N$2:$N$391)</f>
        <v>0</v>
      </c>
      <c r="K6" s="13">
        <f>SUMIF(Mercado_Receita!$T$2:$T$391,"44501B1Energia horáriaResidencialResidencialNão se aplicaNão se aplicaFora ponta",Mercado_Receita!$N$2:$N$391)</f>
        <v>0</v>
      </c>
      <c r="L6" s="13">
        <f>SUMIF(Mercado_Receita!$T$2:$T$391,"44531B1Energia horáriaResidencialResidencialNão se aplicaNão se aplicaFora ponta",Mercado_Receita!$N$2:$N$391)</f>
        <v>0</v>
      </c>
      <c r="M6" s="13">
        <f>SUMIF(Mercado_Receita!$T$2:$T$391,"44562B1Energia horáriaResidencialResidencialNão se aplicaNão se aplicaFora ponta",Mercado_Receita!$N$2:$N$391)</f>
        <v>0</v>
      </c>
      <c r="N6" s="13">
        <f>SUMIF(Mercado_Receita!$T$2:$T$391,"44593B1Energia horáriaResidencialResidencialNão se aplicaNão se aplicaFora ponta",Mercado_Receita!$N$2:$N$391)</f>
        <v>0</v>
      </c>
      <c r="O6" s="13">
        <f>SUMIF(Mercado_Receita!$T$2:$T$391,"44621B1Energia horáriaResidencialResidencialNão se aplicaNão se aplicaFora ponta",Mercado_Receita!$N$2:$N$391)</f>
        <v>0</v>
      </c>
      <c r="P6" s="13">
        <f>SUMIF(Mercado_Receita!$T$2:$T$391,"44652B1Energia horáriaResidencialResidencialNão se aplicaNão se aplicaFora ponta",Mercado_Receita!$N$2:$N$391)</f>
        <v>0</v>
      </c>
      <c r="Q6" s="13">
        <f>SUMIF(Mercado_Receita!$T$2:$T$391,"44682B1Energia horáriaResidencialResidencialNão se aplicaNão se aplicaFora ponta",Mercado_Receita!$N$2:$N$391)</f>
        <v>0</v>
      </c>
      <c r="R6" s="13">
        <f>SUMIF(Mercado_Receita!$T$2:$T$391,"44713B1Energia horáriaResidencialResidencialNão se aplicaNão se aplicaFora ponta",Mercado_Receita!$N$2:$N$391)</f>
        <v>0</v>
      </c>
      <c r="S6" s="13">
        <f>SUMIF(Mercado_Receita!$T$2:$T$391,"44743B1Energia horáriaResidencialResidencialNão se aplicaNão se aplicaFora ponta",Mercado_Receita!$N$2:$N$391)</f>
        <v>0</v>
      </c>
      <c r="T6" s="13">
        <f>SUMIF(Mercado_Receita!$T$2:$T$391,"44774B1Energia horáriaResidencialResidencialNão se aplicaNão se aplicaFora ponta",Mercado_Receita!$N$2:$N$391)</f>
        <v>0</v>
      </c>
      <c r="U6" s="13">
        <f t="shared" si="0"/>
        <v>0</v>
      </c>
      <c r="V6" s="13"/>
      <c r="W6" s="13"/>
    </row>
    <row r="7" spans="1:30" ht="11.25" customHeight="1" x14ac:dyDescent="0.3">
      <c r="A7" s="78"/>
      <c r="B7" s="77" t="s">
        <v>86</v>
      </c>
      <c r="C7" s="77" t="s">
        <v>24</v>
      </c>
      <c r="D7" s="12" t="s">
        <v>24</v>
      </c>
      <c r="E7" s="12" t="s">
        <v>25</v>
      </c>
      <c r="F7" s="12" t="s">
        <v>25</v>
      </c>
      <c r="G7" s="13" t="s">
        <v>79</v>
      </c>
      <c r="H7" s="13" t="s">
        <v>72</v>
      </c>
      <c r="I7" s="13">
        <f>SUMIF(Mercado_Receita!$T$2:$T$391,"44440B1Energia convencionalResidencialResidencialNão se aplicaNão se aplicaNão se aplica",Mercado_Receita!$N$2:$N$391)</f>
        <v>441.32300000000004</v>
      </c>
      <c r="J7" s="13">
        <f>SUMIF(Mercado_Receita!$T$2:$T$391,"44470B1Energia convencionalResidencialResidencialNão se aplicaNão se aplicaNão se aplica",Mercado_Receita!$N$2:$N$391)</f>
        <v>456.88</v>
      </c>
      <c r="K7" s="13">
        <f>SUMIF(Mercado_Receita!$T$2:$T$391,"44501B1Energia convencionalResidencialResidencialNão se aplicaNão se aplicaNão se aplica",Mercado_Receita!$N$2:$N$391)</f>
        <v>469.99100000000004</v>
      </c>
      <c r="L7" s="13">
        <f>SUMIF(Mercado_Receita!$T$2:$T$391,"44531B1Energia convencionalResidencialResidencialNão se aplicaNão se aplicaNão se aplica",Mercado_Receita!$N$2:$N$391)</f>
        <v>470.88</v>
      </c>
      <c r="M7" s="13">
        <f>SUMIF(Mercado_Receita!$T$2:$T$391,"44562B1Energia convencionalResidencialResidencialNão se aplicaNão se aplicaNão se aplica",Mercado_Receita!$N$2:$N$391)</f>
        <v>522.64</v>
      </c>
      <c r="N7" s="13">
        <f>SUMIF(Mercado_Receita!$T$2:$T$391,"44593B1Energia convencionalResidencialResidencialNão se aplicaNão se aplicaNão se aplica",Mercado_Receita!$N$2:$N$391)</f>
        <v>666.88599999999997</v>
      </c>
      <c r="O7" s="13">
        <f>SUMIF(Mercado_Receita!$T$2:$T$391,"44621B1Energia convencionalResidencialResidencialNão se aplicaNão se aplicaNão se aplica",Mercado_Receita!$N$2:$N$391)</f>
        <v>534.5630000000001</v>
      </c>
      <c r="P7" s="13">
        <f>SUMIF(Mercado_Receita!$T$2:$T$391,"44652B1Energia convencionalResidencialResidencialNão se aplicaNão se aplicaNão se aplica",Mercado_Receita!$N$2:$N$391)</f>
        <v>476.09899999999999</v>
      </c>
      <c r="Q7" s="13">
        <f>SUMIF(Mercado_Receita!$T$2:$T$391,"44682B1Energia convencionalResidencialResidencialNão se aplicaNão se aplicaNão se aplica",Mercado_Receita!$N$2:$N$391)</f>
        <v>423.30599999999998</v>
      </c>
      <c r="R7" s="13">
        <f>SUMIF(Mercado_Receita!$T$2:$T$391,"44713B1Energia convencionalResidencialResidencialNão se aplicaNão se aplicaNão se aplica",Mercado_Receita!$N$2:$N$391)</f>
        <v>479.25900000000001</v>
      </c>
      <c r="S7" s="13">
        <f>SUMIF(Mercado_Receita!$T$2:$T$391,"44743B1Energia convencionalResidencialResidencialNão se aplicaNão se aplicaNão se aplica",Mercado_Receita!$N$2:$N$391)</f>
        <v>486.00299999999999</v>
      </c>
      <c r="T7" s="13">
        <f>SUMIF(Mercado_Receita!$T$2:$T$391,"44774B1Energia convencionalResidencialResidencialNão se aplicaNão se aplicaNão se aplica",Mercado_Receita!$N$2:$N$391)</f>
        <v>486.00299999999999</v>
      </c>
      <c r="U7" s="13">
        <f t="shared" si="0"/>
        <v>5913.8329999999996</v>
      </c>
      <c r="V7" s="13"/>
      <c r="W7" s="13"/>
    </row>
    <row r="8" spans="1:30" ht="11.25" customHeight="1" x14ac:dyDescent="0.3">
      <c r="A8" s="78"/>
      <c r="B8" s="78"/>
      <c r="C8" s="78"/>
      <c r="D8" s="12" t="s">
        <v>29</v>
      </c>
      <c r="E8" s="12" t="s">
        <v>25</v>
      </c>
      <c r="F8" s="12" t="s">
        <v>25</v>
      </c>
      <c r="G8" s="13" t="s">
        <v>79</v>
      </c>
      <c r="H8" s="13" t="s">
        <v>72</v>
      </c>
      <c r="I8" s="13">
        <f>SUMIF(Mercado_Receita!$T$2:$T$391,"44440B1Energia convencionalResidencialResidencial baixa renda – faixa 01Não se aplicaNão se aplicaNão se aplica",Mercado_Receita!$N$2:$N$391)</f>
        <v>4.9800000000000004</v>
      </c>
      <c r="J8" s="13">
        <f>SUMIF(Mercado_Receita!$T$2:$T$391,"44470B1Energia convencionalResidencialResidencial baixa renda – faixa 01Não se aplicaNão se aplicaNão se aplica",Mercado_Receita!$N$2:$N$391)</f>
        <v>5.16</v>
      </c>
      <c r="K8" s="13">
        <f>SUMIF(Mercado_Receita!$T$2:$T$391,"44501B1Energia convencionalResidencialResidencial baixa renda – faixa 01Não se aplicaNão se aplicaNão se aplica",Mercado_Receita!$N$2:$N$391)</f>
        <v>5.34</v>
      </c>
      <c r="L8" s="13">
        <f>SUMIF(Mercado_Receita!$T$2:$T$391,"44531B1Energia convencionalResidencialResidencial baixa renda – faixa 01Não se aplicaNão se aplicaNão se aplica",Mercado_Receita!$N$2:$N$391)</f>
        <v>5.37</v>
      </c>
      <c r="M8" s="13">
        <f>SUMIF(Mercado_Receita!$T$2:$T$391,"44562B1Energia convencionalResidencialResidencial baixa renda – faixa 01Não se aplicaNão se aplicaNão se aplica",Mercado_Receita!$N$2:$N$391)</f>
        <v>5.52</v>
      </c>
      <c r="N8" s="13">
        <f>SUMIF(Mercado_Receita!$T$2:$T$391,"44593B1Energia convencionalResidencialResidencial baixa renda – faixa 01Não se aplicaNão se aplicaNão se aplica",Mercado_Receita!$N$2:$N$391)</f>
        <v>5.76</v>
      </c>
      <c r="O8" s="13">
        <f>SUMIF(Mercado_Receita!$T$2:$T$391,"44621B1Energia convencionalResidencialResidencial baixa renda – faixa 01Não se aplicaNão se aplicaNão se aplica",Mercado_Receita!$N$2:$N$391)</f>
        <v>7.2</v>
      </c>
      <c r="P8" s="13">
        <f>SUMIF(Mercado_Receita!$T$2:$T$391,"44652B1Energia convencionalResidencialResidencial baixa renda – faixa 01Não se aplicaNão se aplicaNão se aplica",Mercado_Receita!$N$2:$N$391)</f>
        <v>7.5</v>
      </c>
      <c r="Q8" s="13">
        <f>SUMIF(Mercado_Receita!$T$2:$T$391,"44682B1Energia convencionalResidencialResidencial baixa renda – faixa 01Não se aplicaNão se aplicaNão se aplica",Mercado_Receita!$N$2:$N$391)</f>
        <v>8.2799999999999994</v>
      </c>
      <c r="R8" s="13">
        <f>SUMIF(Mercado_Receita!$T$2:$T$391,"44713B1Energia convencionalResidencialResidencial baixa renda – faixa 01Não se aplicaNão se aplicaNão se aplica",Mercado_Receita!$N$2:$N$391)</f>
        <v>7.7990000000000004</v>
      </c>
      <c r="S8" s="13">
        <f>SUMIF(Mercado_Receita!$T$2:$T$391,"44743B1Energia convencionalResidencialResidencial baixa renda – faixa 01Não se aplicaNão se aplicaNão se aplica",Mercado_Receita!$N$2:$N$391)</f>
        <v>7.86</v>
      </c>
      <c r="T8" s="13">
        <f>SUMIF(Mercado_Receita!$T$2:$T$391,"44774B1Energia convencionalResidencialResidencial baixa renda – faixa 01Não se aplicaNão se aplicaNão se aplica",Mercado_Receita!$N$2:$N$391)</f>
        <v>7.86</v>
      </c>
      <c r="U8" s="13">
        <f t="shared" si="0"/>
        <v>78.629000000000005</v>
      </c>
      <c r="V8" s="13"/>
      <c r="W8" s="13"/>
    </row>
    <row r="9" spans="1:30" ht="11.25" customHeight="1" x14ac:dyDescent="0.3">
      <c r="A9" s="78"/>
      <c r="B9" s="78"/>
      <c r="C9" s="78"/>
      <c r="D9" s="12" t="s">
        <v>30</v>
      </c>
      <c r="E9" s="12" t="s">
        <v>25</v>
      </c>
      <c r="F9" s="12" t="s">
        <v>25</v>
      </c>
      <c r="G9" s="13" t="s">
        <v>79</v>
      </c>
      <c r="H9" s="13" t="s">
        <v>72</v>
      </c>
      <c r="I9" s="13">
        <f>SUMIF(Mercado_Receita!$T$2:$T$391,"44440B1Energia convencionalResidencialResidencial baixa renda – faixa 02Não se aplicaNão se aplicaNão se aplica",Mercado_Receita!$N$2:$N$391)</f>
        <v>9.9969999999999999</v>
      </c>
      <c r="J9" s="13">
        <f>SUMIF(Mercado_Receita!$T$2:$T$391,"44470B1Energia convencionalResidencialResidencial baixa renda – faixa 02Não se aplicaNão se aplicaNão se aplica",Mercado_Receita!$N$2:$N$391)</f>
        <v>10.64</v>
      </c>
      <c r="K9" s="13">
        <f>SUMIF(Mercado_Receita!$T$2:$T$391,"44501B1Energia convencionalResidencialResidencial baixa renda – faixa 02Não se aplicaNão se aplicaNão se aplica",Mercado_Receita!$N$2:$N$391)</f>
        <v>10.894</v>
      </c>
      <c r="L9" s="13">
        <f>SUMIF(Mercado_Receita!$T$2:$T$391,"44531B1Energia convencionalResidencialResidencial baixa renda – faixa 02Não se aplicaNão se aplicaNão se aplica",Mercado_Receita!$N$2:$N$391)</f>
        <v>11.026</v>
      </c>
      <c r="M9" s="13">
        <f>SUMIF(Mercado_Receita!$T$2:$T$391,"44562B1Energia convencionalResidencialResidencial baixa renda – faixa 02Não se aplicaNão se aplicaNão se aplica",Mercado_Receita!$N$2:$N$391)</f>
        <v>11.669</v>
      </c>
      <c r="N9" s="13">
        <f>SUMIF(Mercado_Receita!$T$2:$T$391,"44593B1Energia convencionalResidencialResidencial baixa renda – faixa 02Não se aplicaNão se aplicaNão se aplica",Mercado_Receita!$N$2:$N$391)</f>
        <v>12.263</v>
      </c>
      <c r="O9" s="13">
        <f>SUMIF(Mercado_Receita!$T$2:$T$391,"44621B1Energia convencionalResidencialResidencial baixa renda – faixa 02Não se aplicaNão se aplicaNão se aplica",Mercado_Receita!$N$2:$N$391)</f>
        <v>14.689</v>
      </c>
      <c r="P9" s="13">
        <f>SUMIF(Mercado_Receita!$T$2:$T$391,"44652B1Energia convencionalResidencialResidencial baixa renda – faixa 02Não se aplicaNão se aplicaNão se aplica",Mercado_Receita!$N$2:$N$391)</f>
        <v>15.435</v>
      </c>
      <c r="Q9" s="13">
        <f>SUMIF(Mercado_Receita!$T$2:$T$391,"44682B1Energia convencionalResidencialResidencial baixa renda – faixa 02Não se aplicaNão se aplicaNão se aplica",Mercado_Receita!$N$2:$N$391)</f>
        <v>16.388000000000002</v>
      </c>
      <c r="R9" s="13">
        <f>SUMIF(Mercado_Receita!$T$2:$T$391,"44713B1Energia convencionalResidencialResidencial baixa renda – faixa 02Não se aplicaNão se aplicaNão se aplica",Mercado_Receita!$N$2:$N$391)</f>
        <v>15.46</v>
      </c>
      <c r="S9" s="13">
        <f>SUMIF(Mercado_Receita!$T$2:$T$391,"44743B1Energia convencionalResidencialResidencial baixa renda – faixa 02Não se aplicaNão se aplicaNão se aplica",Mercado_Receita!$N$2:$N$391)</f>
        <v>15.704000000000001</v>
      </c>
      <c r="T9" s="13">
        <f>SUMIF(Mercado_Receita!$T$2:$T$391,"44774B1Energia convencionalResidencialResidencial baixa renda – faixa 02Não se aplicaNão se aplicaNão se aplica",Mercado_Receita!$N$2:$N$391)</f>
        <v>15.704000000000001</v>
      </c>
      <c r="U9" s="13">
        <f t="shared" si="0"/>
        <v>159.86900000000003</v>
      </c>
      <c r="V9" s="13"/>
      <c r="W9" s="13"/>
    </row>
    <row r="10" spans="1:30" ht="11.25" customHeight="1" x14ac:dyDescent="0.3">
      <c r="A10" s="78"/>
      <c r="B10" s="78"/>
      <c r="C10" s="78"/>
      <c r="D10" s="12" t="s">
        <v>31</v>
      </c>
      <c r="E10" s="12" t="s">
        <v>25</v>
      </c>
      <c r="F10" s="12" t="s">
        <v>25</v>
      </c>
      <c r="G10" s="13" t="s">
        <v>79</v>
      </c>
      <c r="H10" s="13" t="s">
        <v>72</v>
      </c>
      <c r="I10" s="13">
        <f>SUMIF(Mercado_Receita!$T$2:$T$391,"44440B1Energia convencionalResidencialResidencial baixa renda – faixa 03Não se aplicaNão se aplicaNão se aplica",Mercado_Receita!$N$2:$N$391)</f>
        <v>8.4339999999999993</v>
      </c>
      <c r="J10" s="13">
        <f>SUMIF(Mercado_Receita!$T$2:$T$391,"44470B1Energia convencionalResidencialResidencial baixa renda – faixa 03Não se aplicaNão se aplicaNão se aplica",Mercado_Receita!$N$2:$N$391)</f>
        <v>9.8420000000000005</v>
      </c>
      <c r="K10" s="13">
        <f>SUMIF(Mercado_Receita!$T$2:$T$391,"44501B1Energia convencionalResidencialResidencial baixa renda – faixa 03Não se aplicaNão se aplicaNão se aplica",Mercado_Receita!$N$2:$N$391)</f>
        <v>9.7710000000000008</v>
      </c>
      <c r="L10" s="13">
        <f>SUMIF(Mercado_Receita!$T$2:$T$391,"44531B1Energia convencionalResidencialResidencial baixa renda – faixa 03Não se aplicaNão se aplicaNão se aplica",Mercado_Receita!$N$2:$N$391)</f>
        <v>10.201000000000001</v>
      </c>
      <c r="M10" s="13">
        <f>SUMIF(Mercado_Receita!$T$2:$T$391,"44562B1Energia convencionalResidencialResidencial baixa renda – faixa 03Não se aplicaNão se aplicaNão se aplica",Mercado_Receita!$N$2:$N$391)</f>
        <v>11.513999999999999</v>
      </c>
      <c r="N10" s="13">
        <f>SUMIF(Mercado_Receita!$T$2:$T$391,"44593B1Energia convencionalResidencialResidencial baixa renda – faixa 03Não se aplicaNão se aplicaNão se aplica",Mercado_Receita!$N$2:$N$391)</f>
        <v>14.289</v>
      </c>
      <c r="O10" s="13">
        <f>SUMIF(Mercado_Receita!$T$2:$T$391,"44621B1Energia convencionalResidencialResidencial baixa renda – faixa 03Não se aplicaNão se aplicaNão se aplica",Mercado_Receita!$N$2:$N$391)</f>
        <v>14.075000000000001</v>
      </c>
      <c r="P10" s="13">
        <f>SUMIF(Mercado_Receita!$T$2:$T$391,"44652B1Energia convencionalResidencialResidencial baixa renda – faixa 03Não se aplicaNão se aplicaNão se aplica",Mercado_Receita!$N$2:$N$391)</f>
        <v>14.488</v>
      </c>
      <c r="Q10" s="13">
        <f>SUMIF(Mercado_Receita!$T$2:$T$391,"44682B1Energia convencionalResidencialResidencial baixa renda – faixa 03Não se aplicaNão se aplicaNão se aplica",Mercado_Receita!$N$2:$N$391)</f>
        <v>12.88</v>
      </c>
      <c r="R10" s="13">
        <f>SUMIF(Mercado_Receita!$T$2:$T$391,"44713B1Energia convencionalResidencialResidencial baixa renda – faixa 03Não se aplicaNão se aplicaNão se aplica",Mercado_Receita!$N$2:$N$391)</f>
        <v>14.611000000000001</v>
      </c>
      <c r="S10" s="13">
        <f>SUMIF(Mercado_Receita!$T$2:$T$391,"44743B1Energia convencionalResidencialResidencial baixa renda – faixa 03Não se aplicaNão se aplicaNão se aplica",Mercado_Receita!$N$2:$N$391)</f>
        <v>14.917</v>
      </c>
      <c r="T10" s="13">
        <f>SUMIF(Mercado_Receita!$T$2:$T$391,"44774B1Energia convencionalResidencialResidencial baixa renda – faixa 03Não se aplicaNão se aplicaNão se aplica",Mercado_Receita!$N$2:$N$391)</f>
        <v>14.917</v>
      </c>
      <c r="U10" s="13">
        <f t="shared" si="0"/>
        <v>149.93899999999999</v>
      </c>
      <c r="V10" s="13"/>
      <c r="W10" s="13"/>
    </row>
    <row r="11" spans="1:30" ht="11.25" customHeight="1" x14ac:dyDescent="0.3">
      <c r="A11" s="78"/>
      <c r="B11" s="78"/>
      <c r="C11" s="78"/>
      <c r="D11" s="12" t="s">
        <v>32</v>
      </c>
      <c r="E11" s="12" t="s">
        <v>25</v>
      </c>
      <c r="F11" s="12" t="s">
        <v>25</v>
      </c>
      <c r="G11" s="13" t="s">
        <v>79</v>
      </c>
      <c r="H11" s="13" t="s">
        <v>72</v>
      </c>
      <c r="I11" s="13">
        <f>SUMIF(Mercado_Receita!$T$2:$T$391,"44440B1Energia convencionalResidencialResidencial baixa renda – faixa 04Não se aplicaNão se aplicaNão se aplica",Mercado_Receita!$N$2:$N$391)</f>
        <v>1.909</v>
      </c>
      <c r="J11" s="13">
        <f>SUMIF(Mercado_Receita!$T$2:$T$391,"44470B1Energia convencionalResidencialResidencial baixa renda – faixa 04Não se aplicaNão se aplicaNão se aplica",Mercado_Receita!$N$2:$N$391)</f>
        <v>3.2509999999999999</v>
      </c>
      <c r="K11" s="13">
        <f>SUMIF(Mercado_Receita!$T$2:$T$391,"44501B1Energia convencionalResidencialResidencial baixa renda – faixa 04Não se aplicaNão se aplicaNão se aplica",Mercado_Receita!$N$2:$N$391)</f>
        <v>2.9319999999999999</v>
      </c>
      <c r="L11" s="13">
        <f>SUMIF(Mercado_Receita!$T$2:$T$391,"44531B1Energia convencionalResidencialResidencial baixa renda – faixa 04Não se aplicaNão se aplicaNão se aplica",Mercado_Receita!$N$2:$N$391)</f>
        <v>2.6139999999999999</v>
      </c>
      <c r="M11" s="13">
        <f>SUMIF(Mercado_Receita!$T$2:$T$391,"44562B1Energia convencionalResidencialResidencial baixa renda – faixa 04Não se aplicaNão se aplicaNão se aplica",Mercado_Receita!$N$2:$N$391)</f>
        <v>4.2629999999999999</v>
      </c>
      <c r="N11" s="13">
        <f>SUMIF(Mercado_Receita!$T$2:$T$391,"44593B1Energia convencionalResidencialResidencial baixa renda – faixa 04Não se aplicaNão se aplicaNão se aplica",Mercado_Receita!$N$2:$N$391)</f>
        <v>9.2530000000000001</v>
      </c>
      <c r="O11" s="13">
        <f>SUMIF(Mercado_Receita!$T$2:$T$391,"44621B1Energia convencionalResidencialResidencial baixa renda – faixa 04Não se aplicaNão se aplicaNão se aplica",Mercado_Receita!$N$2:$N$391)</f>
        <v>5.5659999999999998</v>
      </c>
      <c r="P11" s="13">
        <f>SUMIF(Mercado_Receita!$T$2:$T$391,"44652B1Energia convencionalResidencialResidencial baixa renda – faixa 04Não se aplicaNão se aplicaNão se aplica",Mercado_Receita!$N$2:$N$391)</f>
        <v>4.3879999999999999</v>
      </c>
      <c r="Q11" s="13">
        <f>SUMIF(Mercado_Receita!$T$2:$T$391,"44682B1Energia convencionalResidencialResidencial baixa renda – faixa 04Não se aplicaNão se aplicaNão se aplica",Mercado_Receita!$N$2:$N$391)</f>
        <v>2.4380000000000002</v>
      </c>
      <c r="R11" s="13">
        <f>SUMIF(Mercado_Receita!$T$2:$T$391,"44713B1Energia convencionalResidencialResidencial baixa renda – faixa 04Não se aplicaNão se aplicaNão se aplica",Mercado_Receita!$N$2:$N$391)</f>
        <v>3.9569999999999999</v>
      </c>
      <c r="S11" s="13">
        <f>SUMIF(Mercado_Receita!$T$2:$T$391,"44743B1Energia convencionalResidencialResidencial baixa renda – faixa 04Não se aplicaNão se aplicaNão se aplica",Mercado_Receita!$N$2:$N$391)</f>
        <v>4.8789999999999996</v>
      </c>
      <c r="T11" s="13">
        <f>SUMIF(Mercado_Receita!$T$2:$T$391,"44774B1Energia convencionalResidencialResidencial baixa renda – faixa 04Não se aplicaNão se aplicaNão se aplica",Mercado_Receita!$N$2:$N$391)</f>
        <v>4.8789999999999996</v>
      </c>
      <c r="U11" s="13">
        <f t="shared" si="0"/>
        <v>50.329000000000001</v>
      </c>
      <c r="V11" s="13"/>
      <c r="W11" s="13"/>
    </row>
    <row r="12" spans="1:30" ht="11.25" customHeight="1" x14ac:dyDescent="0.3">
      <c r="A12" s="78"/>
      <c r="B12" s="77" t="s">
        <v>87</v>
      </c>
      <c r="C12" s="77" t="s">
        <v>24</v>
      </c>
      <c r="D12" s="12" t="s">
        <v>24</v>
      </c>
      <c r="E12" s="12" t="s">
        <v>25</v>
      </c>
      <c r="F12" s="12" t="s">
        <v>25</v>
      </c>
      <c r="G12" s="13" t="s">
        <v>79</v>
      </c>
      <c r="H12" s="13" t="s">
        <v>72</v>
      </c>
      <c r="I12" s="13">
        <f>SUMIF(Mercado_Receita!$T$2:$T$391,"44440B1Energia convencional pré-pagamentoResidencialResidencialNão se aplicaNão se aplicaNão se aplica",Mercado_Receita!$N$2:$N$391)</f>
        <v>0</v>
      </c>
      <c r="J12" s="13">
        <f>SUMIF(Mercado_Receita!$T$2:$T$391,"44470B1Energia convencional pré-pagamentoResidencialResidencialNão se aplicaNão se aplicaNão se aplica",Mercado_Receita!$N$2:$N$391)</f>
        <v>0</v>
      </c>
      <c r="K12" s="13">
        <f>SUMIF(Mercado_Receita!$T$2:$T$391,"44501B1Energia convencional pré-pagamentoResidencialResidencialNão se aplicaNão se aplicaNão se aplica",Mercado_Receita!$N$2:$N$391)</f>
        <v>0</v>
      </c>
      <c r="L12" s="13">
        <f>SUMIF(Mercado_Receita!$T$2:$T$391,"44531B1Energia convencional pré-pagamentoResidencialResidencialNão se aplicaNão se aplicaNão se aplica",Mercado_Receita!$N$2:$N$391)</f>
        <v>0</v>
      </c>
      <c r="M12" s="13">
        <f>SUMIF(Mercado_Receita!$T$2:$T$391,"44562B1Energia convencional pré-pagamentoResidencialResidencialNão se aplicaNão se aplicaNão se aplica",Mercado_Receita!$N$2:$N$391)</f>
        <v>0</v>
      </c>
      <c r="N12" s="13">
        <f>SUMIF(Mercado_Receita!$T$2:$T$391,"44593B1Energia convencional pré-pagamentoResidencialResidencialNão se aplicaNão se aplicaNão se aplica",Mercado_Receita!$N$2:$N$391)</f>
        <v>0</v>
      </c>
      <c r="O12" s="13">
        <f>SUMIF(Mercado_Receita!$T$2:$T$391,"44621B1Energia convencional pré-pagamentoResidencialResidencialNão se aplicaNão se aplicaNão se aplica",Mercado_Receita!$N$2:$N$391)</f>
        <v>0</v>
      </c>
      <c r="P12" s="13">
        <f>SUMIF(Mercado_Receita!$T$2:$T$391,"44652B1Energia convencional pré-pagamentoResidencialResidencialNão se aplicaNão se aplicaNão se aplica",Mercado_Receita!$N$2:$N$391)</f>
        <v>0</v>
      </c>
      <c r="Q12" s="13">
        <f>SUMIF(Mercado_Receita!$T$2:$T$391,"44682B1Energia convencional pré-pagamentoResidencialResidencialNão se aplicaNão se aplicaNão se aplica",Mercado_Receita!$N$2:$N$391)</f>
        <v>0</v>
      </c>
      <c r="R12" s="13">
        <f>SUMIF(Mercado_Receita!$T$2:$T$391,"44713B1Energia convencional pré-pagamentoResidencialResidencialNão se aplicaNão se aplicaNão se aplica",Mercado_Receita!$N$2:$N$391)</f>
        <v>0</v>
      </c>
      <c r="S12" s="13">
        <f>SUMIF(Mercado_Receita!$T$2:$T$391,"44743B1Energia convencional pré-pagamentoResidencialResidencialNão se aplicaNão se aplicaNão se aplica",Mercado_Receita!$N$2:$N$391)</f>
        <v>0</v>
      </c>
      <c r="T12" s="13">
        <f>SUMIF(Mercado_Receita!$T$2:$T$391,"44774B1Energia convencional pré-pagamentoResidencialResidencialNão se aplicaNão se aplicaNão se aplica",Mercado_Receita!$N$2:$N$391)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8"/>
      <c r="B13" s="78"/>
      <c r="C13" s="78"/>
      <c r="D13" s="12" t="s">
        <v>29</v>
      </c>
      <c r="E13" s="12" t="s">
        <v>25</v>
      </c>
      <c r="F13" s="12" t="s">
        <v>25</v>
      </c>
      <c r="G13" s="13" t="s">
        <v>79</v>
      </c>
      <c r="H13" s="13" t="s">
        <v>72</v>
      </c>
      <c r="I13" s="13">
        <f>SUMIF(Mercado_Receita!$T$2:$T$391,"44440B1Energia convencional pré-pagamentoResidencialResidencial baixa renda – faixa 01Não se aplicaNão se aplicaNão se aplica",Mercado_Receita!$N$2:$N$391)</f>
        <v>0</v>
      </c>
      <c r="J13" s="13">
        <f>SUMIF(Mercado_Receita!$T$2:$T$391,"44470B1Energia convencional pré-pagamentoResidencialResidencial baixa renda – faixa 01Não se aplicaNão se aplicaNão se aplica",Mercado_Receita!$N$2:$N$391)</f>
        <v>0</v>
      </c>
      <c r="K13" s="13">
        <f>SUMIF(Mercado_Receita!$T$2:$T$391,"44501B1Energia convencional pré-pagamentoResidencialResidencial baixa renda – faixa 01Não se aplicaNão se aplicaNão se aplica",Mercado_Receita!$N$2:$N$391)</f>
        <v>0</v>
      </c>
      <c r="L13" s="13">
        <f>SUMIF(Mercado_Receita!$T$2:$T$391,"44531B1Energia convencional pré-pagamentoResidencialResidencial baixa renda – faixa 01Não se aplicaNão se aplicaNão se aplica",Mercado_Receita!$N$2:$N$391)</f>
        <v>0</v>
      </c>
      <c r="M13" s="13">
        <f>SUMIF(Mercado_Receita!$T$2:$T$391,"44562B1Energia convencional pré-pagamentoResidencialResidencial baixa renda – faixa 01Não se aplicaNão se aplicaNão se aplica",Mercado_Receita!$N$2:$N$391)</f>
        <v>0</v>
      </c>
      <c r="N13" s="13">
        <f>SUMIF(Mercado_Receita!$T$2:$T$391,"44593B1Energia convencional pré-pagamentoResidencialResidencial baixa renda – faixa 01Não se aplicaNão se aplicaNão se aplica",Mercado_Receita!$N$2:$N$391)</f>
        <v>0</v>
      </c>
      <c r="O13" s="13">
        <f>SUMIF(Mercado_Receita!$T$2:$T$391,"44621B1Energia convencional pré-pagamentoResidencialResidencial baixa renda – faixa 01Não se aplicaNão se aplicaNão se aplica",Mercado_Receita!$N$2:$N$391)</f>
        <v>0</v>
      </c>
      <c r="P13" s="13">
        <f>SUMIF(Mercado_Receita!$T$2:$T$391,"44652B1Energia convencional pré-pagamentoResidencialResidencial baixa renda – faixa 01Não se aplicaNão se aplicaNão se aplica",Mercado_Receita!$N$2:$N$391)</f>
        <v>0</v>
      </c>
      <c r="Q13" s="13">
        <f>SUMIF(Mercado_Receita!$T$2:$T$391,"44682B1Energia convencional pré-pagamentoResidencialResidencial baixa renda – faixa 01Não se aplicaNão se aplicaNão se aplica",Mercado_Receita!$N$2:$N$391)</f>
        <v>0</v>
      </c>
      <c r="R13" s="13">
        <f>SUMIF(Mercado_Receita!$T$2:$T$391,"44713B1Energia convencional pré-pagamentoResidencialResidencial baixa renda – faixa 01Não se aplicaNão se aplicaNão se aplica",Mercado_Receita!$N$2:$N$391)</f>
        <v>0</v>
      </c>
      <c r="S13" s="13">
        <f>SUMIF(Mercado_Receita!$T$2:$T$391,"44743B1Energia convencional pré-pagamentoResidencialResidencial baixa renda – faixa 01Não se aplicaNão se aplicaNão se aplica",Mercado_Receita!$N$2:$N$391)</f>
        <v>0</v>
      </c>
      <c r="T13" s="13">
        <f>SUMIF(Mercado_Receita!$T$2:$T$391,"44774B1Energia convencional pré-pagamentoResidencialResidencial baixa renda – faixa 01Não se aplicaNão se aplicaNão se aplica",Mercado_Receita!$N$2:$N$391)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8"/>
      <c r="B14" s="78"/>
      <c r="C14" s="78"/>
      <c r="D14" s="12" t="s">
        <v>30</v>
      </c>
      <c r="E14" s="12" t="s">
        <v>25</v>
      </c>
      <c r="F14" s="12" t="s">
        <v>25</v>
      </c>
      <c r="G14" s="13" t="s">
        <v>79</v>
      </c>
      <c r="H14" s="13" t="s">
        <v>72</v>
      </c>
      <c r="I14" s="13">
        <f>SUMIF(Mercado_Receita!$T$2:$T$391,"44440B1Energia convencional pré-pagamentoResidencialResidencial baixa renda – faixa 02Não se aplicaNão se aplicaNão se aplica",Mercado_Receita!$N$2:$N$391)</f>
        <v>0</v>
      </c>
      <c r="J14" s="13">
        <f>SUMIF(Mercado_Receita!$T$2:$T$391,"44470B1Energia convencional pré-pagamentoResidencialResidencial baixa renda – faixa 02Não se aplicaNão se aplicaNão se aplica",Mercado_Receita!$N$2:$N$391)</f>
        <v>0</v>
      </c>
      <c r="K14" s="13">
        <f>SUMIF(Mercado_Receita!$T$2:$T$391,"44501B1Energia convencional pré-pagamentoResidencialResidencial baixa renda – faixa 02Não se aplicaNão se aplicaNão se aplica",Mercado_Receita!$N$2:$N$391)</f>
        <v>0</v>
      </c>
      <c r="L14" s="13">
        <f>SUMIF(Mercado_Receita!$T$2:$T$391,"44531B1Energia convencional pré-pagamentoResidencialResidencial baixa renda – faixa 02Não se aplicaNão se aplicaNão se aplica",Mercado_Receita!$N$2:$N$391)</f>
        <v>0</v>
      </c>
      <c r="M14" s="13">
        <f>SUMIF(Mercado_Receita!$T$2:$T$391,"44562B1Energia convencional pré-pagamentoResidencialResidencial baixa renda – faixa 02Não se aplicaNão se aplicaNão se aplica",Mercado_Receita!$N$2:$N$391)</f>
        <v>0</v>
      </c>
      <c r="N14" s="13">
        <f>SUMIF(Mercado_Receita!$T$2:$T$391,"44593B1Energia convencional pré-pagamentoResidencialResidencial baixa renda – faixa 02Não se aplicaNão se aplicaNão se aplica",Mercado_Receita!$N$2:$N$391)</f>
        <v>0</v>
      </c>
      <c r="O14" s="13">
        <f>SUMIF(Mercado_Receita!$T$2:$T$391,"44621B1Energia convencional pré-pagamentoResidencialResidencial baixa renda – faixa 02Não se aplicaNão se aplicaNão se aplica",Mercado_Receita!$N$2:$N$391)</f>
        <v>0</v>
      </c>
      <c r="P14" s="13">
        <f>SUMIF(Mercado_Receita!$T$2:$T$391,"44652B1Energia convencional pré-pagamentoResidencialResidencial baixa renda – faixa 02Não se aplicaNão se aplicaNão se aplica",Mercado_Receita!$N$2:$N$391)</f>
        <v>0</v>
      </c>
      <c r="Q14" s="13">
        <f>SUMIF(Mercado_Receita!$T$2:$T$391,"44682B1Energia convencional pré-pagamentoResidencialResidencial baixa renda – faixa 02Não se aplicaNão se aplicaNão se aplica",Mercado_Receita!$N$2:$N$391)</f>
        <v>0</v>
      </c>
      <c r="R14" s="13">
        <f>SUMIF(Mercado_Receita!$T$2:$T$391,"44713B1Energia convencional pré-pagamentoResidencialResidencial baixa renda – faixa 02Não se aplicaNão se aplicaNão se aplica",Mercado_Receita!$N$2:$N$391)</f>
        <v>0</v>
      </c>
      <c r="S14" s="13">
        <f>SUMIF(Mercado_Receita!$T$2:$T$391,"44743B1Energia convencional pré-pagamentoResidencialResidencial baixa renda – faixa 02Não se aplicaNão se aplicaNão se aplica",Mercado_Receita!$N$2:$N$391)</f>
        <v>0</v>
      </c>
      <c r="T14" s="13">
        <f>SUMIF(Mercado_Receita!$T$2:$T$391,"44774B1Energia convencional pré-pagamentoResidencialResidencial baixa renda – faixa 02Não se aplicaNão se aplicaNão se aplica",Mercado_Receita!$N$2:$N$391)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8"/>
      <c r="B15" s="78"/>
      <c r="C15" s="78"/>
      <c r="D15" s="12" t="s">
        <v>31</v>
      </c>
      <c r="E15" s="12" t="s">
        <v>25</v>
      </c>
      <c r="F15" s="12" t="s">
        <v>25</v>
      </c>
      <c r="G15" s="13" t="s">
        <v>79</v>
      </c>
      <c r="H15" s="13" t="s">
        <v>72</v>
      </c>
      <c r="I15" s="13">
        <f>SUMIF(Mercado_Receita!$T$2:$T$391,"44440B1Energia convencional pré-pagamentoResidencialResidencial baixa renda – faixa 03Não se aplicaNão se aplicaNão se aplica",Mercado_Receita!$N$2:$N$391)</f>
        <v>0</v>
      </c>
      <c r="J15" s="13">
        <f>SUMIF(Mercado_Receita!$T$2:$T$391,"44470B1Energia convencional pré-pagamentoResidencialResidencial baixa renda – faixa 03Não se aplicaNão se aplicaNão se aplica",Mercado_Receita!$N$2:$N$391)</f>
        <v>0</v>
      </c>
      <c r="K15" s="13">
        <f>SUMIF(Mercado_Receita!$T$2:$T$391,"44501B1Energia convencional pré-pagamentoResidencialResidencial baixa renda – faixa 03Não se aplicaNão se aplicaNão se aplica",Mercado_Receita!$N$2:$N$391)</f>
        <v>0</v>
      </c>
      <c r="L15" s="13">
        <f>SUMIF(Mercado_Receita!$T$2:$T$391,"44531B1Energia convencional pré-pagamentoResidencialResidencial baixa renda – faixa 03Não se aplicaNão se aplicaNão se aplica",Mercado_Receita!$N$2:$N$391)</f>
        <v>0</v>
      </c>
      <c r="M15" s="13">
        <f>SUMIF(Mercado_Receita!$T$2:$T$391,"44562B1Energia convencional pré-pagamentoResidencialResidencial baixa renda – faixa 03Não se aplicaNão se aplicaNão se aplica",Mercado_Receita!$N$2:$N$391)</f>
        <v>0</v>
      </c>
      <c r="N15" s="13">
        <f>SUMIF(Mercado_Receita!$T$2:$T$391,"44593B1Energia convencional pré-pagamentoResidencialResidencial baixa renda – faixa 03Não se aplicaNão se aplicaNão se aplica",Mercado_Receita!$N$2:$N$391)</f>
        <v>0</v>
      </c>
      <c r="O15" s="13">
        <f>SUMIF(Mercado_Receita!$T$2:$T$391,"44621B1Energia convencional pré-pagamentoResidencialResidencial baixa renda – faixa 03Não se aplicaNão se aplicaNão se aplica",Mercado_Receita!$N$2:$N$391)</f>
        <v>0</v>
      </c>
      <c r="P15" s="13">
        <f>SUMIF(Mercado_Receita!$T$2:$T$391,"44652B1Energia convencional pré-pagamentoResidencialResidencial baixa renda – faixa 03Não se aplicaNão se aplicaNão se aplica",Mercado_Receita!$N$2:$N$391)</f>
        <v>0</v>
      </c>
      <c r="Q15" s="13">
        <f>SUMIF(Mercado_Receita!$T$2:$T$391,"44682B1Energia convencional pré-pagamentoResidencialResidencial baixa renda – faixa 03Não se aplicaNão se aplicaNão se aplica",Mercado_Receita!$N$2:$N$391)</f>
        <v>0</v>
      </c>
      <c r="R15" s="13">
        <f>SUMIF(Mercado_Receita!$T$2:$T$391,"44713B1Energia convencional pré-pagamentoResidencialResidencial baixa renda – faixa 03Não se aplicaNão se aplicaNão se aplica",Mercado_Receita!$N$2:$N$391)</f>
        <v>0</v>
      </c>
      <c r="S15" s="13">
        <f>SUMIF(Mercado_Receita!$T$2:$T$391,"44743B1Energia convencional pré-pagamentoResidencialResidencial baixa renda – faixa 03Não se aplicaNão se aplicaNão se aplica",Mercado_Receita!$N$2:$N$391)</f>
        <v>0</v>
      </c>
      <c r="T15" s="13">
        <f>SUMIF(Mercado_Receita!$T$2:$T$391,"44774B1Energia convencional pré-pagamentoResidencialResidencial baixa renda – faixa 03Não se aplicaNão se aplicaNão se aplica",Mercado_Receita!$N$2:$N$391)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8"/>
      <c r="B16" s="78"/>
      <c r="C16" s="78"/>
      <c r="D16" s="12" t="s">
        <v>32</v>
      </c>
      <c r="E16" s="12" t="s">
        <v>25</v>
      </c>
      <c r="F16" s="12" t="s">
        <v>25</v>
      </c>
      <c r="G16" s="13" t="s">
        <v>79</v>
      </c>
      <c r="H16" s="13" t="s">
        <v>72</v>
      </c>
      <c r="I16" s="13">
        <f>SUMIF(Mercado_Receita!$T$2:$T$391,"44440B1Energia convencional pré-pagamentoResidencialResidencial baixa renda – faixa 04Não se aplicaNão se aplicaNão se aplica",Mercado_Receita!$N$2:$N$391)</f>
        <v>0</v>
      </c>
      <c r="J16" s="13">
        <f>SUMIF(Mercado_Receita!$T$2:$T$391,"44470B1Energia convencional pré-pagamentoResidencialResidencial baixa renda – faixa 04Não se aplicaNão se aplicaNão se aplica",Mercado_Receita!$N$2:$N$391)</f>
        <v>0</v>
      </c>
      <c r="K16" s="13">
        <f>SUMIF(Mercado_Receita!$T$2:$T$391,"44501B1Energia convencional pré-pagamentoResidencialResidencial baixa renda – faixa 04Não se aplicaNão se aplicaNão se aplica",Mercado_Receita!$N$2:$N$391)</f>
        <v>0</v>
      </c>
      <c r="L16" s="13">
        <f>SUMIF(Mercado_Receita!$T$2:$T$391,"44531B1Energia convencional pré-pagamentoResidencialResidencial baixa renda – faixa 04Não se aplicaNão se aplicaNão se aplica",Mercado_Receita!$N$2:$N$391)</f>
        <v>0</v>
      </c>
      <c r="M16" s="13">
        <f>SUMIF(Mercado_Receita!$T$2:$T$391,"44562B1Energia convencional pré-pagamentoResidencialResidencial baixa renda – faixa 04Não se aplicaNão se aplicaNão se aplica",Mercado_Receita!$N$2:$N$391)</f>
        <v>0</v>
      </c>
      <c r="N16" s="13">
        <f>SUMIF(Mercado_Receita!$T$2:$T$391,"44593B1Energia convencional pré-pagamentoResidencialResidencial baixa renda – faixa 04Não se aplicaNão se aplicaNão se aplica",Mercado_Receita!$N$2:$N$391)</f>
        <v>0</v>
      </c>
      <c r="O16" s="13">
        <f>SUMIF(Mercado_Receita!$T$2:$T$391,"44621B1Energia convencional pré-pagamentoResidencialResidencial baixa renda – faixa 04Não se aplicaNão se aplicaNão se aplica",Mercado_Receita!$N$2:$N$391)</f>
        <v>0</v>
      </c>
      <c r="P16" s="13">
        <f>SUMIF(Mercado_Receita!$T$2:$T$391,"44652B1Energia convencional pré-pagamentoResidencialResidencial baixa renda – faixa 04Não se aplicaNão se aplicaNão se aplica",Mercado_Receita!$N$2:$N$391)</f>
        <v>0</v>
      </c>
      <c r="Q16" s="13">
        <f>SUMIF(Mercado_Receita!$T$2:$T$391,"44682B1Energia convencional pré-pagamentoResidencialResidencial baixa renda – faixa 04Não se aplicaNão se aplicaNão se aplica",Mercado_Receita!$N$2:$N$391)</f>
        <v>0</v>
      </c>
      <c r="R16" s="13">
        <f>SUMIF(Mercado_Receita!$T$2:$T$391,"44713B1Energia convencional pré-pagamentoResidencialResidencial baixa renda – faixa 04Não se aplicaNão se aplicaNão se aplica",Mercado_Receita!$N$2:$N$391)</f>
        <v>0</v>
      </c>
      <c r="S16" s="13">
        <f>SUMIF(Mercado_Receita!$T$2:$T$391,"44743B1Energia convencional pré-pagamentoResidencialResidencial baixa renda – faixa 04Não se aplicaNão se aplicaNão se aplica",Mercado_Receita!$N$2:$N$391)</f>
        <v>0</v>
      </c>
      <c r="T16" s="13">
        <f>SUMIF(Mercado_Receita!$T$2:$T$391,"44774B1Energia convencional pré-pagamentoResidencialResidencial baixa renda – faixa 04Não se aplicaNão se aplicaNão se aplica",Mercado_Receita!$N$2:$N$391)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7" t="s">
        <v>42</v>
      </c>
      <c r="B17" s="77" t="s">
        <v>71</v>
      </c>
      <c r="C17" s="77" t="s">
        <v>43</v>
      </c>
      <c r="D17" s="77" t="s">
        <v>25</v>
      </c>
      <c r="E17" s="77" t="s">
        <v>25</v>
      </c>
      <c r="F17" s="77" t="s">
        <v>25</v>
      </c>
      <c r="G17" s="13" t="s">
        <v>73</v>
      </c>
      <c r="H17" s="13" t="s">
        <v>72</v>
      </c>
      <c r="I17" s="13">
        <f>SUMIF(Mercado_Receita!$T$2:$T$391,"44440B2Energia horáriaRuralNão se aplicaNão se aplicaNão se aplicaPonta",Mercado_Receita!$N$2:$N$391)</f>
        <v>0</v>
      </c>
      <c r="J17" s="13">
        <f>SUMIF(Mercado_Receita!$T$2:$T$391,"44470B2Energia horáriaRuralNão se aplicaNão se aplicaNão se aplicaPonta",Mercado_Receita!$N$2:$N$391)</f>
        <v>0</v>
      </c>
      <c r="K17" s="13">
        <f>SUMIF(Mercado_Receita!$T$2:$T$391,"44501B2Energia horáriaRuralNão se aplicaNão se aplicaNão se aplicaPonta",Mercado_Receita!$N$2:$N$391)</f>
        <v>0</v>
      </c>
      <c r="L17" s="13">
        <f>SUMIF(Mercado_Receita!$T$2:$T$391,"44531B2Energia horáriaRuralNão se aplicaNão se aplicaNão se aplicaPonta",Mercado_Receita!$N$2:$N$391)</f>
        <v>0</v>
      </c>
      <c r="M17" s="13">
        <f>SUMIF(Mercado_Receita!$T$2:$T$391,"44562B2Energia horáriaRuralNão se aplicaNão se aplicaNão se aplicaPonta",Mercado_Receita!$N$2:$N$391)</f>
        <v>0</v>
      </c>
      <c r="N17" s="13">
        <f>SUMIF(Mercado_Receita!$T$2:$T$391,"44593B2Energia horáriaRuralNão se aplicaNão se aplicaNão se aplicaPonta",Mercado_Receita!$N$2:$N$391)</f>
        <v>0</v>
      </c>
      <c r="O17" s="13">
        <f>SUMIF(Mercado_Receita!$T$2:$T$391,"44621B2Energia horáriaRuralNão se aplicaNão se aplicaNão se aplicaPonta",Mercado_Receita!$N$2:$N$391)</f>
        <v>0</v>
      </c>
      <c r="P17" s="13">
        <f>SUMIF(Mercado_Receita!$T$2:$T$391,"44652B2Energia horáriaRuralNão se aplicaNão se aplicaNão se aplicaPonta",Mercado_Receita!$N$2:$N$391)</f>
        <v>0</v>
      </c>
      <c r="Q17" s="13">
        <f>SUMIF(Mercado_Receita!$T$2:$T$391,"44682B2Energia horáriaRuralNão se aplicaNão se aplicaNão se aplicaPonta",Mercado_Receita!$N$2:$N$391)</f>
        <v>0</v>
      </c>
      <c r="R17" s="13">
        <f>SUMIF(Mercado_Receita!$T$2:$T$391,"44713B2Energia horáriaRuralNão se aplicaNão se aplicaNão se aplicaPonta",Mercado_Receita!$N$2:$N$391)</f>
        <v>0</v>
      </c>
      <c r="S17" s="13">
        <f>SUMIF(Mercado_Receita!$T$2:$T$391,"44743B2Energia horáriaRuralNão se aplicaNão se aplicaNão se aplicaPonta",Mercado_Receita!$N$2:$N$391)</f>
        <v>0</v>
      </c>
      <c r="T17" s="13">
        <f>SUMIF(Mercado_Receita!$T$2:$T$391,"44774B2Energia horáriaRuralNão se aplicaNão se aplicaNão se aplicaPonta",Mercado_Receita!$N$2:$N$391)</f>
        <v>0</v>
      </c>
      <c r="U17" s="13">
        <f t="shared" si="0"/>
        <v>0</v>
      </c>
      <c r="V17" s="13"/>
      <c r="W17" s="13"/>
    </row>
    <row r="18" spans="1:23" ht="11.25" customHeight="1" x14ac:dyDescent="0.3">
      <c r="A18" s="78"/>
      <c r="B18" s="78"/>
      <c r="C18" s="78"/>
      <c r="D18" s="78"/>
      <c r="E18" s="78"/>
      <c r="F18" s="78"/>
      <c r="G18" s="13" t="s">
        <v>85</v>
      </c>
      <c r="H18" s="13" t="s">
        <v>72</v>
      </c>
      <c r="I18" s="13">
        <f>SUMIF(Mercado_Receita!$T$2:$T$391,"44440B2Energia horáriaRuralNão se aplicaNão se aplicaNão se aplicaIntermediário",Mercado_Receita!$N$2:$N$391)</f>
        <v>0</v>
      </c>
      <c r="J18" s="13">
        <f>SUMIF(Mercado_Receita!$T$2:$T$391,"44470B2Energia horáriaRuralNão se aplicaNão se aplicaNão se aplicaIntermediário",Mercado_Receita!$N$2:$N$391)</f>
        <v>0</v>
      </c>
      <c r="K18" s="13">
        <f>SUMIF(Mercado_Receita!$T$2:$T$391,"44501B2Energia horáriaRuralNão se aplicaNão se aplicaNão se aplicaIntermediário",Mercado_Receita!$N$2:$N$391)</f>
        <v>0</v>
      </c>
      <c r="L18" s="13">
        <f>SUMIF(Mercado_Receita!$T$2:$T$391,"44531B2Energia horáriaRuralNão se aplicaNão se aplicaNão se aplicaIntermediário",Mercado_Receita!$N$2:$N$391)</f>
        <v>0</v>
      </c>
      <c r="M18" s="13">
        <f>SUMIF(Mercado_Receita!$T$2:$T$391,"44562B2Energia horáriaRuralNão se aplicaNão se aplicaNão se aplicaIntermediário",Mercado_Receita!$N$2:$N$391)</f>
        <v>0</v>
      </c>
      <c r="N18" s="13">
        <f>SUMIF(Mercado_Receita!$T$2:$T$391,"44593B2Energia horáriaRuralNão se aplicaNão se aplicaNão se aplicaIntermediário",Mercado_Receita!$N$2:$N$391)</f>
        <v>0</v>
      </c>
      <c r="O18" s="13">
        <f>SUMIF(Mercado_Receita!$T$2:$T$391,"44621B2Energia horáriaRuralNão se aplicaNão se aplicaNão se aplicaIntermediário",Mercado_Receita!$N$2:$N$391)</f>
        <v>0</v>
      </c>
      <c r="P18" s="13">
        <f>SUMIF(Mercado_Receita!$T$2:$T$391,"44652B2Energia horáriaRuralNão se aplicaNão se aplicaNão se aplicaIntermediário",Mercado_Receita!$N$2:$N$391)</f>
        <v>0</v>
      </c>
      <c r="Q18" s="13">
        <f>SUMIF(Mercado_Receita!$T$2:$T$391,"44682B2Energia horáriaRuralNão se aplicaNão se aplicaNão se aplicaIntermediário",Mercado_Receita!$N$2:$N$391)</f>
        <v>0</v>
      </c>
      <c r="R18" s="13">
        <f>SUMIF(Mercado_Receita!$T$2:$T$391,"44713B2Energia horáriaRuralNão se aplicaNão se aplicaNão se aplicaIntermediário",Mercado_Receita!$N$2:$N$391)</f>
        <v>0</v>
      </c>
      <c r="S18" s="13">
        <f>SUMIF(Mercado_Receita!$T$2:$T$391,"44743B2Energia horáriaRuralNão se aplicaNão se aplicaNão se aplicaIntermediário",Mercado_Receita!$N$2:$N$391)</f>
        <v>0</v>
      </c>
      <c r="T18" s="13">
        <f>SUMIF(Mercado_Receita!$T$2:$T$391,"44774B2Energia horáriaRuralNão se aplicaNão se aplicaNão se aplicaIntermediário",Mercado_Receita!$N$2:$N$391)</f>
        <v>0</v>
      </c>
      <c r="U18" s="13">
        <f t="shared" si="0"/>
        <v>0</v>
      </c>
      <c r="V18" s="13"/>
      <c r="W18" s="13"/>
    </row>
    <row r="19" spans="1:23" ht="11.25" customHeight="1" x14ac:dyDescent="0.3">
      <c r="A19" s="78"/>
      <c r="B19" s="78"/>
      <c r="C19" s="78"/>
      <c r="D19" s="78"/>
      <c r="E19" s="78"/>
      <c r="F19" s="78"/>
      <c r="G19" s="13" t="s">
        <v>74</v>
      </c>
      <c r="H19" s="13" t="s">
        <v>72</v>
      </c>
      <c r="I19" s="13">
        <f>SUMIF(Mercado_Receita!$T$2:$T$391,"44440B2Energia horáriaRuralNão se aplicaNão se aplicaNão se aplicaFora ponta",Mercado_Receita!$N$2:$N$391)</f>
        <v>0</v>
      </c>
      <c r="J19" s="13">
        <f>SUMIF(Mercado_Receita!$T$2:$T$391,"44470B2Energia horáriaRuralNão se aplicaNão se aplicaNão se aplicaFora ponta",Mercado_Receita!$N$2:$N$391)</f>
        <v>0</v>
      </c>
      <c r="K19" s="13">
        <f>SUMIF(Mercado_Receita!$T$2:$T$391,"44501B2Energia horáriaRuralNão se aplicaNão se aplicaNão se aplicaFora ponta",Mercado_Receita!$N$2:$N$391)</f>
        <v>0</v>
      </c>
      <c r="L19" s="13">
        <f>SUMIF(Mercado_Receita!$T$2:$T$391,"44531B2Energia horáriaRuralNão se aplicaNão se aplicaNão se aplicaFora ponta",Mercado_Receita!$N$2:$N$391)</f>
        <v>0</v>
      </c>
      <c r="M19" s="13">
        <f>SUMIF(Mercado_Receita!$T$2:$T$391,"44562B2Energia horáriaRuralNão se aplicaNão se aplicaNão se aplicaFora ponta",Mercado_Receita!$N$2:$N$391)</f>
        <v>0</v>
      </c>
      <c r="N19" s="13">
        <f>SUMIF(Mercado_Receita!$T$2:$T$391,"44593B2Energia horáriaRuralNão se aplicaNão se aplicaNão se aplicaFora ponta",Mercado_Receita!$N$2:$N$391)</f>
        <v>0</v>
      </c>
      <c r="O19" s="13">
        <f>SUMIF(Mercado_Receita!$T$2:$T$391,"44621B2Energia horáriaRuralNão se aplicaNão se aplicaNão se aplicaFora ponta",Mercado_Receita!$N$2:$N$391)</f>
        <v>0</v>
      </c>
      <c r="P19" s="13">
        <f>SUMIF(Mercado_Receita!$T$2:$T$391,"44652B2Energia horáriaRuralNão se aplicaNão se aplicaNão se aplicaFora ponta",Mercado_Receita!$N$2:$N$391)</f>
        <v>0</v>
      </c>
      <c r="Q19" s="13">
        <f>SUMIF(Mercado_Receita!$T$2:$T$391,"44682B2Energia horáriaRuralNão se aplicaNão se aplicaNão se aplicaFora ponta",Mercado_Receita!$N$2:$N$391)</f>
        <v>0</v>
      </c>
      <c r="R19" s="13">
        <f>SUMIF(Mercado_Receita!$T$2:$T$391,"44713B2Energia horáriaRuralNão se aplicaNão se aplicaNão se aplicaFora ponta",Mercado_Receita!$N$2:$N$391)</f>
        <v>0</v>
      </c>
      <c r="S19" s="13">
        <f>SUMIF(Mercado_Receita!$T$2:$T$391,"44743B2Energia horáriaRuralNão se aplicaNão se aplicaNão se aplicaFora ponta",Mercado_Receita!$N$2:$N$391)</f>
        <v>0</v>
      </c>
      <c r="T19" s="13">
        <f>SUMIF(Mercado_Receita!$T$2:$T$391,"44774B2Energia horáriaRuralNão se aplicaNão se aplicaNão se aplicaFora ponta",Mercado_Receita!$N$2:$N$391)</f>
        <v>0</v>
      </c>
      <c r="U19" s="13">
        <f t="shared" si="0"/>
        <v>0</v>
      </c>
      <c r="V19" s="13"/>
      <c r="W19" s="13"/>
    </row>
    <row r="20" spans="1:23" ht="11.25" customHeight="1" x14ac:dyDescent="0.3">
      <c r="A20" s="78"/>
      <c r="B20" s="12" t="s">
        <v>86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79</v>
      </c>
      <c r="H20" s="13" t="s">
        <v>72</v>
      </c>
      <c r="I20" s="13">
        <f>SUMIF(Mercado_Receita!$T$2:$T$391,"44440B2Energia convencionalRuralNão se aplicaNão se aplicaNão se aplicaNão se aplica",Mercado_Receita!$N$2:$N$391)</f>
        <v>385.81499999999994</v>
      </c>
      <c r="J20" s="13">
        <f>SUMIF(Mercado_Receita!$T$2:$T$391,"44470B2Energia convencionalRuralNão se aplicaNão se aplicaNão se aplicaNão se aplica",Mercado_Receita!$N$2:$N$391)</f>
        <v>407.18799999999999</v>
      </c>
      <c r="K20" s="13">
        <f>SUMIF(Mercado_Receita!$T$2:$T$391,"44501B2Energia convencionalRuralNão se aplicaNão se aplicaNão se aplicaNão se aplica",Mercado_Receita!$N$2:$N$391)</f>
        <v>536.66999999999996</v>
      </c>
      <c r="L20" s="13">
        <f>SUMIF(Mercado_Receita!$T$2:$T$391,"44531B2Energia convencionalRuralNão se aplicaNão se aplicaNão se aplicaNão se aplica",Mercado_Receita!$N$2:$N$391)</f>
        <v>560.36199999999997</v>
      </c>
      <c r="M20" s="13">
        <f>SUMIF(Mercado_Receita!$T$2:$T$391,"44562B2Energia convencionalRuralNão se aplicaNão se aplicaNão se aplicaNão se aplica",Mercado_Receita!$N$2:$N$391)</f>
        <v>568.30000000000007</v>
      </c>
      <c r="N20" s="13">
        <f>SUMIF(Mercado_Receita!$T$2:$T$391,"44593B2Energia convencionalRuralNão se aplicaNão se aplicaNão se aplicaNão se aplica",Mercado_Receita!$N$2:$N$391)</f>
        <v>545.82599999999991</v>
      </c>
      <c r="O20" s="13">
        <f>SUMIF(Mercado_Receita!$T$2:$T$391,"44621B2Energia convencionalRuralNão se aplicaNão se aplicaNão se aplicaNão se aplica",Mercado_Receita!$N$2:$N$391)</f>
        <v>472.21800000000002</v>
      </c>
      <c r="P20" s="13">
        <f>SUMIF(Mercado_Receita!$T$2:$T$391,"44652B2Energia convencionalRuralNão se aplicaNão se aplicaNão se aplicaNão se aplica",Mercado_Receita!$N$2:$N$391)</f>
        <v>511.79999999999995</v>
      </c>
      <c r="Q20" s="13">
        <f>SUMIF(Mercado_Receita!$T$2:$T$391,"44682B2Energia convencionalRuralNão se aplicaNão se aplicaNão se aplicaNão se aplica",Mercado_Receita!$N$2:$N$391)</f>
        <v>414.07400000000007</v>
      </c>
      <c r="R20" s="13">
        <f>SUMIF(Mercado_Receita!$T$2:$T$391,"44713B2Energia convencionalRuralNão se aplicaNão se aplicaNão se aplicaNão se aplica",Mercado_Receita!$N$2:$N$391)</f>
        <v>394.77000000000004</v>
      </c>
      <c r="S20" s="13">
        <f>SUMIF(Mercado_Receita!$T$2:$T$391,"44743B2Energia convencionalRuralNão se aplicaNão se aplicaNão se aplicaNão se aplica",Mercado_Receita!$N$2:$N$391)</f>
        <v>357.36300000000006</v>
      </c>
      <c r="T20" s="13">
        <f>SUMIF(Mercado_Receita!$T$2:$T$391,"44774B2Energia convencionalRuralNão se aplicaNão se aplicaNão se aplicaNão se aplica",Mercado_Receita!$N$2:$N$391)</f>
        <v>357.36300000000006</v>
      </c>
      <c r="U20" s="13">
        <f t="shared" si="0"/>
        <v>5511.7490000000016</v>
      </c>
      <c r="V20" s="13"/>
      <c r="W20" s="13"/>
    </row>
    <row r="21" spans="1:23" ht="11.25" customHeight="1" x14ac:dyDescent="0.3">
      <c r="A21" s="78"/>
      <c r="B21" s="77" t="s">
        <v>71</v>
      </c>
      <c r="C21" s="77" t="s">
        <v>43</v>
      </c>
      <c r="D21" s="77" t="s">
        <v>89</v>
      </c>
      <c r="E21" s="77" t="s">
        <v>25</v>
      </c>
      <c r="F21" s="77" t="s">
        <v>25</v>
      </c>
      <c r="G21" s="13" t="s">
        <v>73</v>
      </c>
      <c r="H21" s="13" t="s">
        <v>72</v>
      </c>
      <c r="I21" s="13">
        <f>SUMIF(Mercado_Receita!$T$2:$T$391,"44440B2Energia horáriaRuralCooperativa de eletrificação ruralNão se aplicaNão se aplicaPonta",Mercado_Receita!$N$2:$N$391)</f>
        <v>0</v>
      </c>
      <c r="J21" s="13">
        <f>SUMIF(Mercado_Receita!$T$2:$T$391,"44470B2Energia horáriaRuralCooperativa de eletrificação ruralNão se aplicaNão se aplicaPonta",Mercado_Receita!$N$2:$N$391)</f>
        <v>0</v>
      </c>
      <c r="K21" s="13">
        <f>SUMIF(Mercado_Receita!$T$2:$T$391,"44501B2Energia horáriaRuralCooperativa de eletrificação ruralNão se aplicaNão se aplicaPonta",Mercado_Receita!$N$2:$N$391)</f>
        <v>0</v>
      </c>
      <c r="L21" s="13">
        <f>SUMIF(Mercado_Receita!$T$2:$T$391,"44531B2Energia horáriaRuralCooperativa de eletrificação ruralNão se aplicaNão se aplicaPonta",Mercado_Receita!$N$2:$N$391)</f>
        <v>0</v>
      </c>
      <c r="M21" s="13">
        <f>SUMIF(Mercado_Receita!$T$2:$T$391,"44562B2Energia horáriaRuralCooperativa de eletrificação ruralNão se aplicaNão se aplicaPonta",Mercado_Receita!$N$2:$N$391)</f>
        <v>0</v>
      </c>
      <c r="N21" s="13">
        <f>SUMIF(Mercado_Receita!$T$2:$T$391,"44593B2Energia horáriaRuralCooperativa de eletrificação ruralNão se aplicaNão se aplicaPonta",Mercado_Receita!$N$2:$N$391)</f>
        <v>0</v>
      </c>
      <c r="O21" s="13">
        <f>SUMIF(Mercado_Receita!$T$2:$T$391,"44621B2Energia horáriaRuralCooperativa de eletrificação ruralNão se aplicaNão se aplicaPonta",Mercado_Receita!$N$2:$N$391)</f>
        <v>0</v>
      </c>
      <c r="P21" s="13">
        <f>SUMIF(Mercado_Receita!$T$2:$T$391,"44652B2Energia horáriaRuralCooperativa de eletrificação ruralNão se aplicaNão se aplicaPonta",Mercado_Receita!$N$2:$N$391)</f>
        <v>0</v>
      </c>
      <c r="Q21" s="13">
        <f>SUMIF(Mercado_Receita!$T$2:$T$391,"44682B2Energia horáriaRuralCooperativa de eletrificação ruralNão se aplicaNão se aplicaPonta",Mercado_Receita!$N$2:$N$391)</f>
        <v>0</v>
      </c>
      <c r="R21" s="13">
        <f>SUMIF(Mercado_Receita!$T$2:$T$391,"44713B2Energia horáriaRuralCooperativa de eletrificação ruralNão se aplicaNão se aplicaPonta",Mercado_Receita!$N$2:$N$391)</f>
        <v>0</v>
      </c>
      <c r="S21" s="13">
        <f>SUMIF(Mercado_Receita!$T$2:$T$391,"44743B2Energia horáriaRuralCooperativa de eletrificação ruralNão se aplicaNão se aplicaPonta",Mercado_Receita!$N$2:$N$391)</f>
        <v>0</v>
      </c>
      <c r="T21" s="13">
        <f>SUMIF(Mercado_Receita!$T$2:$T$391,"44774B2Energia horáriaRuralCooperativa de eletrificação ruralNão se aplicaNão se aplicaPonta",Mercado_Receita!$N$2:$N$391)</f>
        <v>0</v>
      </c>
      <c r="U21" s="13">
        <f t="shared" si="0"/>
        <v>0</v>
      </c>
      <c r="V21" s="13"/>
      <c r="W21" s="13"/>
    </row>
    <row r="22" spans="1:23" ht="11.25" customHeight="1" x14ac:dyDescent="0.3">
      <c r="A22" s="78"/>
      <c r="B22" s="78"/>
      <c r="C22" s="78"/>
      <c r="D22" s="78"/>
      <c r="E22" s="78"/>
      <c r="F22" s="78"/>
      <c r="G22" s="13" t="s">
        <v>85</v>
      </c>
      <c r="H22" s="13" t="s">
        <v>72</v>
      </c>
      <c r="I22" s="13">
        <f>SUMIF(Mercado_Receita!$T$2:$T$391,"44440B2Energia horáriaRuralCooperativa de eletrificação ruralNão se aplicaNão se aplicaIntermediário",Mercado_Receita!$N$2:$N$391)</f>
        <v>0</v>
      </c>
      <c r="J22" s="13">
        <f>SUMIF(Mercado_Receita!$T$2:$T$391,"44470B2Energia horáriaRuralCooperativa de eletrificação ruralNão se aplicaNão se aplicaIntermediário",Mercado_Receita!$N$2:$N$391)</f>
        <v>0</v>
      </c>
      <c r="K22" s="13">
        <f>SUMIF(Mercado_Receita!$T$2:$T$391,"44501B2Energia horáriaRuralCooperativa de eletrificação ruralNão se aplicaNão se aplicaIntermediário",Mercado_Receita!$N$2:$N$391)</f>
        <v>0</v>
      </c>
      <c r="L22" s="13">
        <f>SUMIF(Mercado_Receita!$T$2:$T$391,"44531B2Energia horáriaRuralCooperativa de eletrificação ruralNão se aplicaNão se aplicaIntermediário",Mercado_Receita!$N$2:$N$391)</f>
        <v>0</v>
      </c>
      <c r="M22" s="13">
        <f>SUMIF(Mercado_Receita!$T$2:$T$391,"44562B2Energia horáriaRuralCooperativa de eletrificação ruralNão se aplicaNão se aplicaIntermediário",Mercado_Receita!$N$2:$N$391)</f>
        <v>0</v>
      </c>
      <c r="N22" s="13">
        <f>SUMIF(Mercado_Receita!$T$2:$T$391,"44593B2Energia horáriaRuralCooperativa de eletrificação ruralNão se aplicaNão se aplicaIntermediário",Mercado_Receita!$N$2:$N$391)</f>
        <v>0</v>
      </c>
      <c r="O22" s="13">
        <f>SUMIF(Mercado_Receita!$T$2:$T$391,"44621B2Energia horáriaRuralCooperativa de eletrificação ruralNão se aplicaNão se aplicaIntermediário",Mercado_Receita!$N$2:$N$391)</f>
        <v>0</v>
      </c>
      <c r="P22" s="13">
        <f>SUMIF(Mercado_Receita!$T$2:$T$391,"44652B2Energia horáriaRuralCooperativa de eletrificação ruralNão se aplicaNão se aplicaIntermediário",Mercado_Receita!$N$2:$N$391)</f>
        <v>0</v>
      </c>
      <c r="Q22" s="13">
        <f>SUMIF(Mercado_Receita!$T$2:$T$391,"44682B2Energia horáriaRuralCooperativa de eletrificação ruralNão se aplicaNão se aplicaIntermediário",Mercado_Receita!$N$2:$N$391)</f>
        <v>0</v>
      </c>
      <c r="R22" s="13">
        <f>SUMIF(Mercado_Receita!$T$2:$T$391,"44713B2Energia horáriaRuralCooperativa de eletrificação ruralNão se aplicaNão se aplicaIntermediário",Mercado_Receita!$N$2:$N$391)</f>
        <v>0</v>
      </c>
      <c r="S22" s="13">
        <f>SUMIF(Mercado_Receita!$T$2:$T$391,"44743B2Energia horáriaRuralCooperativa de eletrificação ruralNão se aplicaNão se aplicaIntermediário",Mercado_Receita!$N$2:$N$391)</f>
        <v>0</v>
      </c>
      <c r="T22" s="13">
        <f>SUMIF(Mercado_Receita!$T$2:$T$391,"44774B2Energia horáriaRuralCooperativa de eletrificação ruralNão se aplicaNão se aplicaIntermediário",Mercado_Receita!$N$2:$N$391)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8"/>
      <c r="B23" s="78"/>
      <c r="C23" s="78"/>
      <c r="D23" s="78"/>
      <c r="E23" s="78"/>
      <c r="F23" s="78"/>
      <c r="G23" s="13" t="s">
        <v>74</v>
      </c>
      <c r="H23" s="13" t="s">
        <v>72</v>
      </c>
      <c r="I23" s="13">
        <f>SUMIF(Mercado_Receita!$T$2:$T$391,"44440B2Energia horáriaRuralCooperativa de eletrificação ruralNão se aplicaNão se aplicaFora ponta",Mercado_Receita!$N$2:$N$391)</f>
        <v>0</v>
      </c>
      <c r="J23" s="13">
        <f>SUMIF(Mercado_Receita!$T$2:$T$391,"44470B2Energia horáriaRuralCooperativa de eletrificação ruralNão se aplicaNão se aplicaFora ponta",Mercado_Receita!$N$2:$N$391)</f>
        <v>0</v>
      </c>
      <c r="K23" s="13">
        <f>SUMIF(Mercado_Receita!$T$2:$T$391,"44501B2Energia horáriaRuralCooperativa de eletrificação ruralNão se aplicaNão se aplicaFora ponta",Mercado_Receita!$N$2:$N$391)</f>
        <v>0</v>
      </c>
      <c r="L23" s="13">
        <f>SUMIF(Mercado_Receita!$T$2:$T$391,"44531B2Energia horáriaRuralCooperativa de eletrificação ruralNão se aplicaNão se aplicaFora ponta",Mercado_Receita!$N$2:$N$391)</f>
        <v>0</v>
      </c>
      <c r="M23" s="13">
        <f>SUMIF(Mercado_Receita!$T$2:$T$391,"44562B2Energia horáriaRuralCooperativa de eletrificação ruralNão se aplicaNão se aplicaFora ponta",Mercado_Receita!$N$2:$N$391)</f>
        <v>0</v>
      </c>
      <c r="N23" s="13">
        <f>SUMIF(Mercado_Receita!$T$2:$T$391,"44593B2Energia horáriaRuralCooperativa de eletrificação ruralNão se aplicaNão se aplicaFora ponta",Mercado_Receita!$N$2:$N$391)</f>
        <v>0</v>
      </c>
      <c r="O23" s="13">
        <f>SUMIF(Mercado_Receita!$T$2:$T$391,"44621B2Energia horáriaRuralCooperativa de eletrificação ruralNão se aplicaNão se aplicaFora ponta",Mercado_Receita!$N$2:$N$391)</f>
        <v>0</v>
      </c>
      <c r="P23" s="13">
        <f>SUMIF(Mercado_Receita!$T$2:$T$391,"44652B2Energia horáriaRuralCooperativa de eletrificação ruralNão se aplicaNão se aplicaFora ponta",Mercado_Receita!$N$2:$N$391)</f>
        <v>0</v>
      </c>
      <c r="Q23" s="13">
        <f>SUMIF(Mercado_Receita!$T$2:$T$391,"44682B2Energia horáriaRuralCooperativa de eletrificação ruralNão se aplicaNão se aplicaFora ponta",Mercado_Receita!$N$2:$N$391)</f>
        <v>0</v>
      </c>
      <c r="R23" s="13">
        <f>SUMIF(Mercado_Receita!$T$2:$T$391,"44713B2Energia horáriaRuralCooperativa de eletrificação ruralNão se aplicaNão se aplicaFora ponta",Mercado_Receita!$N$2:$N$391)</f>
        <v>0</v>
      </c>
      <c r="S23" s="13">
        <f>SUMIF(Mercado_Receita!$T$2:$T$391,"44743B2Energia horáriaRuralCooperativa de eletrificação ruralNão se aplicaNão se aplicaFora ponta",Mercado_Receita!$N$2:$N$391)</f>
        <v>0</v>
      </c>
      <c r="T23" s="13">
        <f>SUMIF(Mercado_Receita!$T$2:$T$391,"44774B2Energia horáriaRuralCooperativa de eletrificação ruralNão se aplicaNão se aplicaFora ponta",Mercado_Receita!$N$2:$N$391)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8"/>
      <c r="B24" s="12" t="s">
        <v>86</v>
      </c>
      <c r="C24" s="12" t="s">
        <v>43</v>
      </c>
      <c r="D24" s="12" t="s">
        <v>89</v>
      </c>
      <c r="E24" s="12" t="s">
        <v>25</v>
      </c>
      <c r="F24" s="12" t="s">
        <v>25</v>
      </c>
      <c r="G24" s="13" t="s">
        <v>79</v>
      </c>
      <c r="H24" s="13" t="s">
        <v>72</v>
      </c>
      <c r="I24" s="13">
        <f>SUMIF(Mercado_Receita!$T$2:$T$391,"44440B2Energia convencionalRuralCooperativa de eletrificação ruralNão se aplicaNão se aplicaNão se aplica",Mercado_Receita!$N$2:$N$391)</f>
        <v>0</v>
      </c>
      <c r="J24" s="13">
        <f>SUMIF(Mercado_Receita!$T$2:$T$391,"44470B2Energia convencionalRuralCooperativa de eletrificação ruralNão se aplicaNão se aplicaNão se aplica",Mercado_Receita!$N$2:$N$391)</f>
        <v>0</v>
      </c>
      <c r="K24" s="13">
        <f>SUMIF(Mercado_Receita!$T$2:$T$391,"44501B2Energia convencionalRuralCooperativa de eletrificação ruralNão se aplicaNão se aplicaNão se aplica",Mercado_Receita!$N$2:$N$391)</f>
        <v>0</v>
      </c>
      <c r="L24" s="13">
        <f>SUMIF(Mercado_Receita!$T$2:$T$391,"44531B2Energia convencionalRuralCooperativa de eletrificação ruralNão se aplicaNão se aplicaNão se aplica",Mercado_Receita!$N$2:$N$391)</f>
        <v>0</v>
      </c>
      <c r="M24" s="13">
        <f>SUMIF(Mercado_Receita!$T$2:$T$391,"44562B2Energia convencionalRuralCooperativa de eletrificação ruralNão se aplicaNão se aplicaNão se aplica",Mercado_Receita!$N$2:$N$391)</f>
        <v>0</v>
      </c>
      <c r="N24" s="13">
        <f>SUMIF(Mercado_Receita!$T$2:$T$391,"44593B2Energia convencionalRuralCooperativa de eletrificação ruralNão se aplicaNão se aplicaNão se aplica",Mercado_Receita!$N$2:$N$391)</f>
        <v>0</v>
      </c>
      <c r="O24" s="13">
        <f>SUMIF(Mercado_Receita!$T$2:$T$391,"44621B2Energia convencionalRuralCooperativa de eletrificação ruralNão se aplicaNão se aplicaNão se aplica",Mercado_Receita!$N$2:$N$391)</f>
        <v>0</v>
      </c>
      <c r="P24" s="13">
        <f>SUMIF(Mercado_Receita!$T$2:$T$391,"44652B2Energia convencionalRuralCooperativa de eletrificação ruralNão se aplicaNão se aplicaNão se aplica",Mercado_Receita!$N$2:$N$391)</f>
        <v>0</v>
      </c>
      <c r="Q24" s="13">
        <f>SUMIF(Mercado_Receita!$T$2:$T$391,"44682B2Energia convencionalRuralCooperativa de eletrificação ruralNão se aplicaNão se aplicaNão se aplica",Mercado_Receita!$N$2:$N$391)</f>
        <v>0</v>
      </c>
      <c r="R24" s="13">
        <f>SUMIF(Mercado_Receita!$T$2:$T$391,"44713B2Energia convencionalRuralCooperativa de eletrificação ruralNão se aplicaNão se aplicaNão se aplica",Mercado_Receita!$N$2:$N$391)</f>
        <v>0</v>
      </c>
      <c r="S24" s="13">
        <f>SUMIF(Mercado_Receita!$T$2:$T$391,"44743B2Energia convencionalRuralCooperativa de eletrificação ruralNão se aplicaNão se aplicaNão se aplica",Mercado_Receita!$N$2:$N$391)</f>
        <v>0</v>
      </c>
      <c r="T24" s="13">
        <f>SUMIF(Mercado_Receita!$T$2:$T$391,"44774B2Energia convencionalRuralCooperativa de eletrificação ruralNão se aplicaNão se aplicaNão se aplica",Mercado_Receita!$N$2:$N$391)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8"/>
      <c r="B25" s="77" t="s">
        <v>71</v>
      </c>
      <c r="C25" s="77" t="s">
        <v>43</v>
      </c>
      <c r="D25" s="77" t="s">
        <v>90</v>
      </c>
      <c r="E25" s="77" t="s">
        <v>25</v>
      </c>
      <c r="F25" s="77" t="s">
        <v>25</v>
      </c>
      <c r="G25" s="13" t="s">
        <v>73</v>
      </c>
      <c r="H25" s="13" t="s">
        <v>72</v>
      </c>
      <c r="I25" s="13">
        <f>SUMIF(Mercado_Receita!$T$2:$T$391,"44440B2Energia horáriaRuralServiço público de irrigação ruralNão se aplicaNão se aplicaPonta",Mercado_Receita!$N$2:$N$391)</f>
        <v>0</v>
      </c>
      <c r="J25" s="13">
        <f>SUMIF(Mercado_Receita!$T$2:$T$391,"44470B2Energia horáriaRuralServiço público de irrigação ruralNão se aplicaNão se aplicaPonta",Mercado_Receita!$N$2:$N$391)</f>
        <v>0</v>
      </c>
      <c r="K25" s="13">
        <f>SUMIF(Mercado_Receita!$T$2:$T$391,"44501B2Energia horáriaRuralServiço público de irrigação ruralNão se aplicaNão se aplicaPonta",Mercado_Receita!$N$2:$N$391)</f>
        <v>0</v>
      </c>
      <c r="L25" s="13">
        <f>SUMIF(Mercado_Receita!$T$2:$T$391,"44531B2Energia horáriaRuralServiço público de irrigação ruralNão se aplicaNão se aplicaPonta",Mercado_Receita!$N$2:$N$391)</f>
        <v>0</v>
      </c>
      <c r="M25" s="13">
        <f>SUMIF(Mercado_Receita!$T$2:$T$391,"44562B2Energia horáriaRuralServiço público de irrigação ruralNão se aplicaNão se aplicaPonta",Mercado_Receita!$N$2:$N$391)</f>
        <v>0</v>
      </c>
      <c r="N25" s="13">
        <f>SUMIF(Mercado_Receita!$T$2:$T$391,"44593B2Energia horáriaRuralServiço público de irrigação ruralNão se aplicaNão se aplicaPonta",Mercado_Receita!$N$2:$N$391)</f>
        <v>0</v>
      </c>
      <c r="O25" s="13">
        <f>SUMIF(Mercado_Receita!$T$2:$T$391,"44621B2Energia horáriaRuralServiço público de irrigação ruralNão se aplicaNão se aplicaPonta",Mercado_Receita!$N$2:$N$391)</f>
        <v>0</v>
      </c>
      <c r="P25" s="13">
        <f>SUMIF(Mercado_Receita!$T$2:$T$391,"44652B2Energia horáriaRuralServiço público de irrigação ruralNão se aplicaNão se aplicaPonta",Mercado_Receita!$N$2:$N$391)</f>
        <v>0</v>
      </c>
      <c r="Q25" s="13">
        <f>SUMIF(Mercado_Receita!$T$2:$T$391,"44682B2Energia horáriaRuralServiço público de irrigação ruralNão se aplicaNão se aplicaPonta",Mercado_Receita!$N$2:$N$391)</f>
        <v>0</v>
      </c>
      <c r="R25" s="13">
        <f>SUMIF(Mercado_Receita!$T$2:$T$391,"44713B2Energia horáriaRuralServiço público de irrigação ruralNão se aplicaNão se aplicaPonta",Mercado_Receita!$N$2:$N$391)</f>
        <v>0</v>
      </c>
      <c r="S25" s="13">
        <f>SUMIF(Mercado_Receita!$T$2:$T$391,"44743B2Energia horáriaRuralServiço público de irrigação ruralNão se aplicaNão se aplicaPonta",Mercado_Receita!$N$2:$N$391)</f>
        <v>0</v>
      </c>
      <c r="T25" s="13">
        <f>SUMIF(Mercado_Receita!$T$2:$T$391,"44774B2Energia horáriaRuralServiço público de irrigação ruralNão se aplicaNão se aplicaPonta",Mercado_Receita!$N$2:$N$391)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8"/>
      <c r="B26" s="78"/>
      <c r="C26" s="78"/>
      <c r="D26" s="78"/>
      <c r="E26" s="78"/>
      <c r="F26" s="78"/>
      <c r="G26" s="13" t="s">
        <v>85</v>
      </c>
      <c r="H26" s="13" t="s">
        <v>72</v>
      </c>
      <c r="I26" s="13">
        <f>SUMIF(Mercado_Receita!$T$2:$T$391,"44440B2Energia horáriaRuralServiço público de irrigação ruralNão se aplicaNão se aplicaIntermediário",Mercado_Receita!$N$2:$N$391)</f>
        <v>0</v>
      </c>
      <c r="J26" s="13">
        <f>SUMIF(Mercado_Receita!$T$2:$T$391,"44470B2Energia horáriaRuralServiço público de irrigação ruralNão se aplicaNão se aplicaIntermediário",Mercado_Receita!$N$2:$N$391)</f>
        <v>0</v>
      </c>
      <c r="K26" s="13">
        <f>SUMIF(Mercado_Receita!$T$2:$T$391,"44501B2Energia horáriaRuralServiço público de irrigação ruralNão se aplicaNão se aplicaIntermediário",Mercado_Receita!$N$2:$N$391)</f>
        <v>0</v>
      </c>
      <c r="L26" s="13">
        <f>SUMIF(Mercado_Receita!$T$2:$T$391,"44531B2Energia horáriaRuralServiço público de irrigação ruralNão se aplicaNão se aplicaIntermediário",Mercado_Receita!$N$2:$N$391)</f>
        <v>0</v>
      </c>
      <c r="M26" s="13">
        <f>SUMIF(Mercado_Receita!$T$2:$T$391,"44562B2Energia horáriaRuralServiço público de irrigação ruralNão se aplicaNão se aplicaIntermediário",Mercado_Receita!$N$2:$N$391)</f>
        <v>0</v>
      </c>
      <c r="N26" s="13">
        <f>SUMIF(Mercado_Receita!$T$2:$T$391,"44593B2Energia horáriaRuralServiço público de irrigação ruralNão se aplicaNão se aplicaIntermediário",Mercado_Receita!$N$2:$N$391)</f>
        <v>0</v>
      </c>
      <c r="O26" s="13">
        <f>SUMIF(Mercado_Receita!$T$2:$T$391,"44621B2Energia horáriaRuralServiço público de irrigação ruralNão se aplicaNão se aplicaIntermediário",Mercado_Receita!$N$2:$N$391)</f>
        <v>0</v>
      </c>
      <c r="P26" s="13">
        <f>SUMIF(Mercado_Receita!$T$2:$T$391,"44652B2Energia horáriaRuralServiço público de irrigação ruralNão se aplicaNão se aplicaIntermediário",Mercado_Receita!$N$2:$N$391)</f>
        <v>0</v>
      </c>
      <c r="Q26" s="13">
        <f>SUMIF(Mercado_Receita!$T$2:$T$391,"44682B2Energia horáriaRuralServiço público de irrigação ruralNão se aplicaNão se aplicaIntermediário",Mercado_Receita!$N$2:$N$391)</f>
        <v>0</v>
      </c>
      <c r="R26" s="13">
        <f>SUMIF(Mercado_Receita!$T$2:$T$391,"44713B2Energia horáriaRuralServiço público de irrigação ruralNão se aplicaNão se aplicaIntermediário",Mercado_Receita!$N$2:$N$391)</f>
        <v>0</v>
      </c>
      <c r="S26" s="13">
        <f>SUMIF(Mercado_Receita!$T$2:$T$391,"44743B2Energia horáriaRuralServiço público de irrigação ruralNão se aplicaNão se aplicaIntermediário",Mercado_Receita!$N$2:$N$391)</f>
        <v>0</v>
      </c>
      <c r="T26" s="13">
        <f>SUMIF(Mercado_Receita!$T$2:$T$391,"44774B2Energia horáriaRuralServiço público de irrigação ruralNão se aplicaNão se aplicaIntermediário",Mercado_Receita!$N$2:$N$391)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8"/>
      <c r="B27" s="78"/>
      <c r="C27" s="78"/>
      <c r="D27" s="78"/>
      <c r="E27" s="78"/>
      <c r="F27" s="78"/>
      <c r="G27" s="13" t="s">
        <v>74</v>
      </c>
      <c r="H27" s="13" t="s">
        <v>72</v>
      </c>
      <c r="I27" s="13">
        <f>SUMIF(Mercado_Receita!$T$2:$T$391,"44440B2Energia horáriaRuralServiço público de irrigação ruralNão se aplicaNão se aplicaFora ponta",Mercado_Receita!$N$2:$N$391)</f>
        <v>0</v>
      </c>
      <c r="J27" s="13">
        <f>SUMIF(Mercado_Receita!$T$2:$T$391,"44470B2Energia horáriaRuralServiço público de irrigação ruralNão se aplicaNão se aplicaFora ponta",Mercado_Receita!$N$2:$N$391)</f>
        <v>0</v>
      </c>
      <c r="K27" s="13">
        <f>SUMIF(Mercado_Receita!$T$2:$T$391,"44501B2Energia horáriaRuralServiço público de irrigação ruralNão se aplicaNão se aplicaFora ponta",Mercado_Receita!$N$2:$N$391)</f>
        <v>0</v>
      </c>
      <c r="L27" s="13">
        <f>SUMIF(Mercado_Receita!$T$2:$T$391,"44531B2Energia horáriaRuralServiço público de irrigação ruralNão se aplicaNão se aplicaFora ponta",Mercado_Receita!$N$2:$N$391)</f>
        <v>0</v>
      </c>
      <c r="M27" s="13">
        <f>SUMIF(Mercado_Receita!$T$2:$T$391,"44562B2Energia horáriaRuralServiço público de irrigação ruralNão se aplicaNão se aplicaFora ponta",Mercado_Receita!$N$2:$N$391)</f>
        <v>0</v>
      </c>
      <c r="N27" s="13">
        <f>SUMIF(Mercado_Receita!$T$2:$T$391,"44593B2Energia horáriaRuralServiço público de irrigação ruralNão se aplicaNão se aplicaFora ponta",Mercado_Receita!$N$2:$N$391)</f>
        <v>0</v>
      </c>
      <c r="O27" s="13">
        <f>SUMIF(Mercado_Receita!$T$2:$T$391,"44621B2Energia horáriaRuralServiço público de irrigação ruralNão se aplicaNão se aplicaFora ponta",Mercado_Receita!$N$2:$N$391)</f>
        <v>0</v>
      </c>
      <c r="P27" s="13">
        <f>SUMIF(Mercado_Receita!$T$2:$T$391,"44652B2Energia horáriaRuralServiço público de irrigação ruralNão se aplicaNão se aplicaFora ponta",Mercado_Receita!$N$2:$N$391)</f>
        <v>0</v>
      </c>
      <c r="Q27" s="13">
        <f>SUMIF(Mercado_Receita!$T$2:$T$391,"44682B2Energia horáriaRuralServiço público de irrigação ruralNão se aplicaNão se aplicaFora ponta",Mercado_Receita!$N$2:$N$391)</f>
        <v>0</v>
      </c>
      <c r="R27" s="13">
        <f>SUMIF(Mercado_Receita!$T$2:$T$391,"44713B2Energia horáriaRuralServiço público de irrigação ruralNão se aplicaNão se aplicaFora ponta",Mercado_Receita!$N$2:$N$391)</f>
        <v>0</v>
      </c>
      <c r="S27" s="13">
        <f>SUMIF(Mercado_Receita!$T$2:$T$391,"44743B2Energia horáriaRuralServiço público de irrigação ruralNão se aplicaNão se aplicaFora ponta",Mercado_Receita!$N$2:$N$391)</f>
        <v>0</v>
      </c>
      <c r="T27" s="13">
        <f>SUMIF(Mercado_Receita!$T$2:$T$391,"44774B2Energia horáriaRuralServiço público de irrigação ruralNão se aplicaNão se aplicaFora ponta",Mercado_Receita!$N$2:$N$391)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8"/>
      <c r="B28" s="12" t="s">
        <v>86</v>
      </c>
      <c r="C28" s="12" t="s">
        <v>43</v>
      </c>
      <c r="D28" s="12" t="s">
        <v>90</v>
      </c>
      <c r="E28" s="12" t="s">
        <v>25</v>
      </c>
      <c r="F28" s="12" t="s">
        <v>25</v>
      </c>
      <c r="G28" s="13" t="s">
        <v>79</v>
      </c>
      <c r="H28" s="13" t="s">
        <v>72</v>
      </c>
      <c r="I28" s="13">
        <f>SUMIF(Mercado_Receita!$T$2:$T$391,"44440B2Energia convencionalRuralServiço público de irrigação ruralNão se aplicaNão se aplicaNão se aplica",Mercado_Receita!$N$2:$N$391)</f>
        <v>0</v>
      </c>
      <c r="J28" s="13">
        <f>SUMIF(Mercado_Receita!$T$2:$T$391,"44470B2Energia convencionalRuralServiço público de irrigação ruralNão se aplicaNão se aplicaNão se aplica",Mercado_Receita!$N$2:$N$391)</f>
        <v>0</v>
      </c>
      <c r="K28" s="13">
        <f>SUMIF(Mercado_Receita!$T$2:$T$391,"44501B2Energia convencionalRuralServiço público de irrigação ruralNão se aplicaNão se aplicaNão se aplica",Mercado_Receita!$N$2:$N$391)</f>
        <v>0</v>
      </c>
      <c r="L28" s="13">
        <f>SUMIF(Mercado_Receita!$T$2:$T$391,"44531B2Energia convencionalRuralServiço público de irrigação ruralNão se aplicaNão se aplicaNão se aplica",Mercado_Receita!$N$2:$N$391)</f>
        <v>0</v>
      </c>
      <c r="M28" s="13">
        <f>SUMIF(Mercado_Receita!$T$2:$T$391,"44562B2Energia convencionalRuralServiço público de irrigação ruralNão se aplicaNão se aplicaNão se aplica",Mercado_Receita!$N$2:$N$391)</f>
        <v>0</v>
      </c>
      <c r="N28" s="13">
        <f>SUMIF(Mercado_Receita!$T$2:$T$391,"44593B2Energia convencionalRuralServiço público de irrigação ruralNão se aplicaNão se aplicaNão se aplica",Mercado_Receita!$N$2:$N$391)</f>
        <v>0</v>
      </c>
      <c r="O28" s="13">
        <f>SUMIF(Mercado_Receita!$T$2:$T$391,"44621B2Energia convencionalRuralServiço público de irrigação ruralNão se aplicaNão se aplicaNão se aplica",Mercado_Receita!$N$2:$N$391)</f>
        <v>0</v>
      </c>
      <c r="P28" s="13">
        <f>SUMIF(Mercado_Receita!$T$2:$T$391,"44652B2Energia convencionalRuralServiço público de irrigação ruralNão se aplicaNão se aplicaNão se aplica",Mercado_Receita!$N$2:$N$391)</f>
        <v>0</v>
      </c>
      <c r="Q28" s="13">
        <f>SUMIF(Mercado_Receita!$T$2:$T$391,"44682B2Energia convencionalRuralServiço público de irrigação ruralNão se aplicaNão se aplicaNão se aplica",Mercado_Receita!$N$2:$N$391)</f>
        <v>0</v>
      </c>
      <c r="R28" s="13">
        <f>SUMIF(Mercado_Receita!$T$2:$T$391,"44713B2Energia convencionalRuralServiço público de irrigação ruralNão se aplicaNão se aplicaNão se aplica",Mercado_Receita!$N$2:$N$391)</f>
        <v>0</v>
      </c>
      <c r="S28" s="13">
        <f>SUMIF(Mercado_Receita!$T$2:$T$391,"44743B2Energia convencionalRuralServiço público de irrigação ruralNão se aplicaNão se aplicaNão se aplica",Mercado_Receita!$N$2:$N$391)</f>
        <v>0</v>
      </c>
      <c r="T28" s="13">
        <f>SUMIF(Mercado_Receita!$T$2:$T$391,"44774B2Energia convencionalRuralServiço público de irrigação ruralNão se aplicaNão se aplicaNão se aplica",Mercado_Receita!$N$2:$N$391)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8"/>
      <c r="B29" s="77" t="s">
        <v>87</v>
      </c>
      <c r="C29" s="77" t="s">
        <v>43</v>
      </c>
      <c r="D29" s="12" t="s">
        <v>25</v>
      </c>
      <c r="E29" s="12" t="s">
        <v>25</v>
      </c>
      <c r="F29" s="12" t="s">
        <v>25</v>
      </c>
      <c r="G29" s="13" t="s">
        <v>79</v>
      </c>
      <c r="H29" s="13" t="s">
        <v>72</v>
      </c>
      <c r="I29" s="13">
        <f>SUMIF(Mercado_Receita!$T$2:$T$391,"44440B2Energia convencional pré-pagamentoRuralNão se aplicaNão se aplicaNão se aplicaNão se aplica",Mercado_Receita!$N$2:$N$391)</f>
        <v>0</v>
      </c>
      <c r="J29" s="13">
        <f>SUMIF(Mercado_Receita!$T$2:$T$391,"44470B2Energia convencional pré-pagamentoRuralNão se aplicaNão se aplicaNão se aplicaNão se aplica",Mercado_Receita!$N$2:$N$391)</f>
        <v>0</v>
      </c>
      <c r="K29" s="13">
        <f>SUMIF(Mercado_Receita!$T$2:$T$391,"44501B2Energia convencional pré-pagamentoRuralNão se aplicaNão se aplicaNão se aplicaNão se aplica",Mercado_Receita!$N$2:$N$391)</f>
        <v>0</v>
      </c>
      <c r="L29" s="13">
        <f>SUMIF(Mercado_Receita!$T$2:$T$391,"44531B2Energia convencional pré-pagamentoRuralNão se aplicaNão se aplicaNão se aplicaNão se aplica",Mercado_Receita!$N$2:$N$391)</f>
        <v>0</v>
      </c>
      <c r="M29" s="13">
        <f>SUMIF(Mercado_Receita!$T$2:$T$391,"44562B2Energia convencional pré-pagamentoRuralNão se aplicaNão se aplicaNão se aplicaNão se aplica",Mercado_Receita!$N$2:$N$391)</f>
        <v>0</v>
      </c>
      <c r="N29" s="13">
        <f>SUMIF(Mercado_Receita!$T$2:$T$391,"44593B2Energia convencional pré-pagamentoRuralNão se aplicaNão se aplicaNão se aplicaNão se aplica",Mercado_Receita!$N$2:$N$391)</f>
        <v>0</v>
      </c>
      <c r="O29" s="13">
        <f>SUMIF(Mercado_Receita!$T$2:$T$391,"44621B2Energia convencional pré-pagamentoRuralNão se aplicaNão se aplicaNão se aplicaNão se aplica",Mercado_Receita!$N$2:$N$391)</f>
        <v>0</v>
      </c>
      <c r="P29" s="13">
        <f>SUMIF(Mercado_Receita!$T$2:$T$391,"44652B2Energia convencional pré-pagamentoRuralNão se aplicaNão se aplicaNão se aplicaNão se aplica",Mercado_Receita!$N$2:$N$391)</f>
        <v>0</v>
      </c>
      <c r="Q29" s="13">
        <f>SUMIF(Mercado_Receita!$T$2:$T$391,"44682B2Energia convencional pré-pagamentoRuralNão se aplicaNão se aplicaNão se aplicaNão se aplica",Mercado_Receita!$N$2:$N$391)</f>
        <v>0</v>
      </c>
      <c r="R29" s="13">
        <f>SUMIF(Mercado_Receita!$T$2:$T$391,"44713B2Energia convencional pré-pagamentoRuralNão se aplicaNão se aplicaNão se aplicaNão se aplica",Mercado_Receita!$N$2:$N$391)</f>
        <v>0</v>
      </c>
      <c r="S29" s="13">
        <f>SUMIF(Mercado_Receita!$T$2:$T$391,"44743B2Energia convencional pré-pagamentoRuralNão se aplicaNão se aplicaNão se aplicaNão se aplica",Mercado_Receita!$N$2:$N$391)</f>
        <v>0</v>
      </c>
      <c r="T29" s="13">
        <f>SUMIF(Mercado_Receita!$T$2:$T$391,"44774B2Energia convencional pré-pagamentoRuralNão se aplicaNão se aplicaNão se aplicaNão se aplica",Mercado_Receita!$N$2:$N$391)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8"/>
      <c r="B30" s="78"/>
      <c r="C30" s="78"/>
      <c r="D30" s="12" t="s">
        <v>89</v>
      </c>
      <c r="E30" s="12" t="s">
        <v>25</v>
      </c>
      <c r="F30" s="12" t="s">
        <v>25</v>
      </c>
      <c r="G30" s="13" t="s">
        <v>79</v>
      </c>
      <c r="H30" s="13" t="s">
        <v>72</v>
      </c>
      <c r="I30" s="13">
        <f>SUMIF(Mercado_Receita!$T$2:$T$391,"44440B2Energia convencional pré-pagamentoRuralCooperativa de eletrificação ruralNão se aplicaNão se aplicaNão se aplica",Mercado_Receita!$N$2:$N$391)</f>
        <v>0</v>
      </c>
      <c r="J30" s="13">
        <f>SUMIF(Mercado_Receita!$T$2:$T$391,"44470B2Energia convencional pré-pagamentoRuralCooperativa de eletrificação ruralNão se aplicaNão se aplicaNão se aplica",Mercado_Receita!$N$2:$N$391)</f>
        <v>0</v>
      </c>
      <c r="K30" s="13">
        <f>SUMIF(Mercado_Receita!$T$2:$T$391,"44501B2Energia convencional pré-pagamentoRuralCooperativa de eletrificação ruralNão se aplicaNão se aplicaNão se aplica",Mercado_Receita!$N$2:$N$391)</f>
        <v>0</v>
      </c>
      <c r="L30" s="13">
        <f>SUMIF(Mercado_Receita!$T$2:$T$391,"44531B2Energia convencional pré-pagamentoRuralCooperativa de eletrificação ruralNão se aplicaNão se aplicaNão se aplica",Mercado_Receita!$N$2:$N$391)</f>
        <v>0</v>
      </c>
      <c r="M30" s="13">
        <f>SUMIF(Mercado_Receita!$T$2:$T$391,"44562B2Energia convencional pré-pagamentoRuralCooperativa de eletrificação ruralNão se aplicaNão se aplicaNão se aplica",Mercado_Receita!$N$2:$N$391)</f>
        <v>0</v>
      </c>
      <c r="N30" s="13">
        <f>SUMIF(Mercado_Receita!$T$2:$T$391,"44593B2Energia convencional pré-pagamentoRuralCooperativa de eletrificação ruralNão se aplicaNão se aplicaNão se aplica",Mercado_Receita!$N$2:$N$391)</f>
        <v>0</v>
      </c>
      <c r="O30" s="13">
        <f>SUMIF(Mercado_Receita!$T$2:$T$391,"44621B2Energia convencional pré-pagamentoRuralCooperativa de eletrificação ruralNão se aplicaNão se aplicaNão se aplica",Mercado_Receita!$N$2:$N$391)</f>
        <v>0</v>
      </c>
      <c r="P30" s="13">
        <f>SUMIF(Mercado_Receita!$T$2:$T$391,"44652B2Energia convencional pré-pagamentoRuralCooperativa de eletrificação ruralNão se aplicaNão se aplicaNão se aplica",Mercado_Receita!$N$2:$N$391)</f>
        <v>0</v>
      </c>
      <c r="Q30" s="13">
        <f>SUMIF(Mercado_Receita!$T$2:$T$391,"44682B2Energia convencional pré-pagamentoRuralCooperativa de eletrificação ruralNão se aplicaNão se aplicaNão se aplica",Mercado_Receita!$N$2:$N$391)</f>
        <v>0</v>
      </c>
      <c r="R30" s="13">
        <f>SUMIF(Mercado_Receita!$T$2:$T$391,"44713B2Energia convencional pré-pagamentoRuralCooperativa de eletrificação ruralNão se aplicaNão se aplicaNão se aplica",Mercado_Receita!$N$2:$N$391)</f>
        <v>0</v>
      </c>
      <c r="S30" s="13">
        <f>SUMIF(Mercado_Receita!$T$2:$T$391,"44743B2Energia convencional pré-pagamentoRuralCooperativa de eletrificação ruralNão se aplicaNão se aplicaNão se aplica",Mercado_Receita!$N$2:$N$391)</f>
        <v>0</v>
      </c>
      <c r="T30" s="13">
        <f>SUMIF(Mercado_Receita!$T$2:$T$391,"44774B2Energia convencional pré-pagamentoRuralCooperativa de eletrificação ruralNão se aplicaNão se aplicaNão se aplica",Mercado_Receita!$N$2:$N$391)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78"/>
      <c r="B31" s="78"/>
      <c r="C31" s="78"/>
      <c r="D31" s="12" t="s">
        <v>90</v>
      </c>
      <c r="E31" s="12" t="s">
        <v>25</v>
      </c>
      <c r="F31" s="12" t="s">
        <v>25</v>
      </c>
      <c r="G31" s="13" t="s">
        <v>79</v>
      </c>
      <c r="H31" s="13" t="s">
        <v>72</v>
      </c>
      <c r="I31" s="13">
        <f>SUMIF(Mercado_Receita!$T$2:$T$391,"44440B2Energia convencional pré-pagamentoRuralServiço público de irrigação ruralNão se aplicaNão se aplicaNão se aplica",Mercado_Receita!$N$2:$N$391)</f>
        <v>0</v>
      </c>
      <c r="J31" s="13">
        <f>SUMIF(Mercado_Receita!$T$2:$T$391,"44470B2Energia convencional pré-pagamentoRuralServiço público de irrigação ruralNão se aplicaNão se aplicaNão se aplica",Mercado_Receita!$N$2:$N$391)</f>
        <v>0</v>
      </c>
      <c r="K31" s="13">
        <f>SUMIF(Mercado_Receita!$T$2:$T$391,"44501B2Energia convencional pré-pagamentoRuralServiço público de irrigação ruralNão se aplicaNão se aplicaNão se aplica",Mercado_Receita!$N$2:$N$391)</f>
        <v>0</v>
      </c>
      <c r="L31" s="13">
        <f>SUMIF(Mercado_Receita!$T$2:$T$391,"44531B2Energia convencional pré-pagamentoRuralServiço público de irrigação ruralNão se aplicaNão se aplicaNão se aplica",Mercado_Receita!$N$2:$N$391)</f>
        <v>0</v>
      </c>
      <c r="M31" s="13">
        <f>SUMIF(Mercado_Receita!$T$2:$T$391,"44562B2Energia convencional pré-pagamentoRuralServiço público de irrigação ruralNão se aplicaNão se aplicaNão se aplica",Mercado_Receita!$N$2:$N$391)</f>
        <v>0</v>
      </c>
      <c r="N31" s="13">
        <f>SUMIF(Mercado_Receita!$T$2:$T$391,"44593B2Energia convencional pré-pagamentoRuralServiço público de irrigação ruralNão se aplicaNão se aplicaNão se aplica",Mercado_Receita!$N$2:$N$391)</f>
        <v>0</v>
      </c>
      <c r="O31" s="13">
        <f>SUMIF(Mercado_Receita!$T$2:$T$391,"44621B2Energia convencional pré-pagamentoRuralServiço público de irrigação ruralNão se aplicaNão se aplicaNão se aplica",Mercado_Receita!$N$2:$N$391)</f>
        <v>0</v>
      </c>
      <c r="P31" s="13">
        <f>SUMIF(Mercado_Receita!$T$2:$T$391,"44652B2Energia convencional pré-pagamentoRuralServiço público de irrigação ruralNão se aplicaNão se aplicaNão se aplica",Mercado_Receita!$N$2:$N$391)</f>
        <v>0</v>
      </c>
      <c r="Q31" s="13">
        <f>SUMIF(Mercado_Receita!$T$2:$T$391,"44682B2Energia convencional pré-pagamentoRuralServiço público de irrigação ruralNão se aplicaNão se aplicaNão se aplica",Mercado_Receita!$N$2:$N$391)</f>
        <v>0</v>
      </c>
      <c r="R31" s="13">
        <f>SUMIF(Mercado_Receita!$T$2:$T$391,"44713B2Energia convencional pré-pagamentoRuralServiço público de irrigação ruralNão se aplicaNão se aplicaNão se aplica",Mercado_Receita!$N$2:$N$391)</f>
        <v>0</v>
      </c>
      <c r="S31" s="13">
        <f>SUMIF(Mercado_Receita!$T$2:$T$391,"44743B2Energia convencional pré-pagamentoRuralServiço público de irrigação ruralNão se aplicaNão se aplicaNão se aplica",Mercado_Receita!$N$2:$N$391)</f>
        <v>0</v>
      </c>
      <c r="T31" s="13">
        <f>SUMIF(Mercado_Receita!$T$2:$T$391,"44774B2Energia convencional pré-pagamentoRuralServiço público de irrigação ruralNão se aplicaNão se aplicaNão se aplica",Mercado_Receita!$N$2:$N$391)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7" t="s">
        <v>33</v>
      </c>
      <c r="B32" s="77" t="s">
        <v>71</v>
      </c>
      <c r="C32" s="77" t="s">
        <v>25</v>
      </c>
      <c r="D32" s="77" t="s">
        <v>25</v>
      </c>
      <c r="E32" s="77" t="s">
        <v>25</v>
      </c>
      <c r="F32" s="77" t="s">
        <v>25</v>
      </c>
      <c r="G32" s="13" t="s">
        <v>73</v>
      </c>
      <c r="H32" s="13" t="s">
        <v>72</v>
      </c>
      <c r="I32" s="13">
        <f>SUMIF(Mercado_Receita!$T$2:$T$391,"44440B3Energia horáriaNão se aplicaNão se aplicaNão se aplicaNão se aplicaPonta",Mercado_Receita!$N$2:$N$391)</f>
        <v>0.05</v>
      </c>
      <c r="J32" s="13">
        <f>SUMIF(Mercado_Receita!$T$2:$T$391,"44470B3Energia horáriaNão se aplicaNão se aplicaNão se aplicaNão se aplicaPonta",Mercado_Receita!$N$2:$N$391)</f>
        <v>5.1999999999999998E-2</v>
      </c>
      <c r="K32" s="13">
        <f>SUMIF(Mercado_Receita!$T$2:$T$391,"44501B3Energia horáriaNão se aplicaNão se aplicaNão se aplicaNão se aplicaPonta",Mercado_Receita!$N$2:$N$391)</f>
        <v>5.1999999999999998E-2</v>
      </c>
      <c r="L32" s="13">
        <f>SUMIF(Mercado_Receita!$T$2:$T$391,"44531B3Energia horáriaNão se aplicaNão se aplicaNão se aplicaNão se aplicaPonta",Mercado_Receita!$N$2:$N$391)</f>
        <v>5.7000000000000002E-2</v>
      </c>
      <c r="M32" s="13">
        <f>SUMIF(Mercado_Receita!$T$2:$T$391,"44562B3Energia horáriaNão se aplicaNão se aplicaNão se aplicaNão se aplicaPonta",Mercado_Receita!$N$2:$N$391)</f>
        <v>7.4999999999999997E-2</v>
      </c>
      <c r="N32" s="13">
        <f>SUMIF(Mercado_Receita!$T$2:$T$391,"44593B3Energia horáriaNão se aplicaNão se aplicaNão se aplicaNão se aplicaPonta",Mercado_Receita!$N$2:$N$391)</f>
        <v>0.106</v>
      </c>
      <c r="O32" s="13">
        <f>SUMIF(Mercado_Receita!$T$2:$T$391,"44621B3Energia horáriaNão se aplicaNão se aplicaNão se aplicaNão se aplicaPonta",Mercado_Receita!$N$2:$N$391)</f>
        <v>7.4999999999999997E-2</v>
      </c>
      <c r="P32" s="13">
        <f>SUMIF(Mercado_Receita!$T$2:$T$391,"44652B3Energia horáriaNão se aplicaNão se aplicaNão se aplicaNão se aplicaPonta",Mercado_Receita!$N$2:$N$391)</f>
        <v>8.6999999999999994E-2</v>
      </c>
      <c r="Q32" s="13">
        <f>SUMIF(Mercado_Receita!$T$2:$T$391,"44682B3Energia horáriaNão se aplicaNão se aplicaNão se aplicaNão se aplicaPonta",Mercado_Receita!$N$2:$N$391)</f>
        <v>7.8E-2</v>
      </c>
      <c r="R32" s="13">
        <f>SUMIF(Mercado_Receita!$T$2:$T$391,"44713B3Energia horáriaNão se aplicaNão se aplicaNão se aplicaNão se aplicaPonta",Mercado_Receita!$N$2:$N$391)</f>
        <v>0.08</v>
      </c>
      <c r="S32" s="13">
        <f>SUMIF(Mercado_Receita!$T$2:$T$391,"44743B3Energia horáriaNão se aplicaNão se aplicaNão se aplicaNão se aplicaPonta",Mercado_Receita!$N$2:$N$391)</f>
        <v>7.8E-2</v>
      </c>
      <c r="T32" s="13">
        <f>SUMIF(Mercado_Receita!$T$2:$T$391,"44774B3Energia horáriaNão se aplicaNão se aplicaNão se aplicaNão se aplicaPonta",Mercado_Receita!$N$2:$N$391)</f>
        <v>7.8E-2</v>
      </c>
      <c r="U32" s="13">
        <f t="shared" si="0"/>
        <v>0.86799999999999977</v>
      </c>
      <c r="V32" s="13"/>
      <c r="W32" s="13"/>
    </row>
    <row r="33" spans="1:23" ht="11.25" customHeight="1" x14ac:dyDescent="0.3">
      <c r="A33" s="78"/>
      <c r="B33" s="78"/>
      <c r="C33" s="78"/>
      <c r="D33" s="78"/>
      <c r="E33" s="78"/>
      <c r="F33" s="78"/>
      <c r="G33" s="13" t="s">
        <v>85</v>
      </c>
      <c r="H33" s="13" t="s">
        <v>72</v>
      </c>
      <c r="I33" s="13">
        <f>SUMIF(Mercado_Receita!$T$2:$T$391,"44440B3Energia horáriaNão se aplicaNão se aplicaNão se aplicaNão se aplicaIntermediário",Mercado_Receita!$N$2:$N$391)</f>
        <v>3.2000000000000001E-2</v>
      </c>
      <c r="J33" s="13">
        <f>SUMIF(Mercado_Receita!$T$2:$T$391,"44470B3Energia horáriaNão se aplicaNão se aplicaNão se aplicaNão se aplicaIntermediário",Mercado_Receita!$N$2:$N$391)</f>
        <v>3.5000000000000003E-2</v>
      </c>
      <c r="K33" s="13">
        <f>SUMIF(Mercado_Receita!$T$2:$T$391,"44501B3Energia horáriaNão se aplicaNão se aplicaNão se aplicaNão se aplicaIntermediário",Mercado_Receita!$N$2:$N$391)</f>
        <v>3.4000000000000002E-2</v>
      </c>
      <c r="L33" s="13">
        <f>SUMIF(Mercado_Receita!$T$2:$T$391,"44531B3Energia horáriaNão se aplicaNão se aplicaNão se aplicaNão se aplicaIntermediário",Mercado_Receita!$N$2:$N$391)</f>
        <v>3.7999999999999999E-2</v>
      </c>
      <c r="M33" s="13">
        <f>SUMIF(Mercado_Receita!$T$2:$T$391,"44562B3Energia horáriaNão se aplicaNão se aplicaNão se aplicaNão se aplicaIntermediário",Mercado_Receita!$N$2:$N$391)</f>
        <v>0.05</v>
      </c>
      <c r="N33" s="13">
        <f>SUMIF(Mercado_Receita!$T$2:$T$391,"44593B3Energia horáriaNão se aplicaNão se aplicaNão se aplicaNão se aplicaIntermediário",Mercado_Receita!$N$2:$N$391)</f>
        <v>6.9000000000000006E-2</v>
      </c>
      <c r="O33" s="13">
        <f>SUMIF(Mercado_Receita!$T$2:$T$391,"44621B3Energia horáriaNão se aplicaNão se aplicaNão se aplicaNão se aplicaIntermediário",Mercado_Receita!$N$2:$N$391)</f>
        <v>5.1999999999999998E-2</v>
      </c>
      <c r="P33" s="13">
        <f>SUMIF(Mercado_Receita!$T$2:$T$391,"44652B3Energia horáriaNão se aplicaNão se aplicaNão se aplicaNão se aplicaIntermediário",Mercado_Receita!$N$2:$N$391)</f>
        <v>5.7000000000000002E-2</v>
      </c>
      <c r="Q33" s="13">
        <f>SUMIF(Mercado_Receita!$T$2:$T$391,"44682B3Energia horáriaNão se aplicaNão se aplicaNão se aplicaNão se aplicaIntermediário",Mercado_Receita!$N$2:$N$391)</f>
        <v>5.1999999999999998E-2</v>
      </c>
      <c r="R33" s="13">
        <f>SUMIF(Mercado_Receita!$T$2:$T$391,"44713B3Energia horáriaNão se aplicaNão se aplicaNão se aplicaNão se aplicaIntermediário",Mercado_Receita!$N$2:$N$391)</f>
        <v>5.1999999999999998E-2</v>
      </c>
      <c r="S33" s="13">
        <f>SUMIF(Mercado_Receita!$T$2:$T$391,"44743B3Energia horáriaNão se aplicaNão se aplicaNão se aplicaNão se aplicaIntermediário",Mercado_Receita!$N$2:$N$391)</f>
        <v>5.1999999999999998E-2</v>
      </c>
      <c r="T33" s="13">
        <f>SUMIF(Mercado_Receita!$T$2:$T$391,"44774B3Energia horáriaNão se aplicaNão se aplicaNão se aplicaNão se aplicaIntermediário",Mercado_Receita!$N$2:$N$391)</f>
        <v>5.1999999999999998E-2</v>
      </c>
      <c r="U33" s="13">
        <f t="shared" si="0"/>
        <v>0.57500000000000007</v>
      </c>
      <c r="V33" s="13"/>
      <c r="W33" s="13"/>
    </row>
    <row r="34" spans="1:23" ht="11.25" customHeight="1" x14ac:dyDescent="0.3">
      <c r="A34" s="78"/>
      <c r="B34" s="78"/>
      <c r="C34" s="78"/>
      <c r="D34" s="78"/>
      <c r="E34" s="78"/>
      <c r="F34" s="78"/>
      <c r="G34" s="13" t="s">
        <v>74</v>
      </c>
      <c r="H34" s="13" t="s">
        <v>72</v>
      </c>
      <c r="I34" s="13">
        <f>SUMIF(Mercado_Receita!$T$2:$T$391,"44440B3Energia horáriaNão se aplicaNão se aplicaNão se aplicaNão se aplicaFora ponta",Mercado_Receita!$N$2:$N$391)</f>
        <v>0.54100000000000004</v>
      </c>
      <c r="J34" s="13">
        <f>SUMIF(Mercado_Receita!$T$2:$T$391,"44470B3Energia horáriaNão se aplicaNão se aplicaNão se aplicaNão se aplicaFora ponta",Mercado_Receita!$N$2:$N$391)</f>
        <v>0.56000000000000005</v>
      </c>
      <c r="K34" s="13">
        <f>SUMIF(Mercado_Receita!$T$2:$T$391,"44501B3Energia horáriaNão se aplicaNão se aplicaNão se aplicaNão se aplicaFora ponta",Mercado_Receita!$N$2:$N$391)</f>
        <v>0.63</v>
      </c>
      <c r="L34" s="13">
        <f>SUMIF(Mercado_Receita!$T$2:$T$391,"44531B3Energia horáriaNão se aplicaNão se aplicaNão se aplicaNão se aplicaFora ponta",Mercado_Receita!$N$2:$N$391)</f>
        <v>0.747</v>
      </c>
      <c r="M34" s="13">
        <f>SUMIF(Mercado_Receita!$T$2:$T$391,"44562B3Energia horáriaNão se aplicaNão se aplicaNão se aplicaNão se aplicaFora ponta",Mercado_Receita!$N$2:$N$391)</f>
        <v>0.86099999999999999</v>
      </c>
      <c r="N34" s="13">
        <f>SUMIF(Mercado_Receita!$T$2:$T$391,"44593B3Energia horáriaNão se aplicaNão se aplicaNão se aplicaNão se aplicaFora ponta",Mercado_Receita!$N$2:$N$391)</f>
        <v>1.2609999999999999</v>
      </c>
      <c r="O34" s="13">
        <f>SUMIF(Mercado_Receita!$T$2:$T$391,"44621B3Energia horáriaNão se aplicaNão se aplicaNão se aplicaNão se aplicaFora ponta",Mercado_Receita!$N$2:$N$391)</f>
        <v>0.97199999999999998</v>
      </c>
      <c r="P34" s="13">
        <f>SUMIF(Mercado_Receita!$T$2:$T$391,"44652B3Energia horáriaNão se aplicaNão se aplicaNão se aplicaNão se aplicaFora ponta",Mercado_Receita!$N$2:$N$391)</f>
        <v>0.91200000000000003</v>
      </c>
      <c r="Q34" s="13">
        <f>SUMIF(Mercado_Receita!$T$2:$T$391,"44682B3Energia horáriaNão se aplicaNão se aplicaNão se aplicaNão se aplicaFora ponta",Mercado_Receita!$N$2:$N$391)</f>
        <v>0.84199999999999997</v>
      </c>
      <c r="R34" s="13">
        <f>SUMIF(Mercado_Receita!$T$2:$T$391,"44713B3Energia horáriaNão se aplicaNão se aplicaNão se aplicaNão se aplicaFora ponta",Mercado_Receita!$N$2:$N$391)</f>
        <v>0.79100000000000004</v>
      </c>
      <c r="S34" s="13">
        <f>SUMIF(Mercado_Receita!$T$2:$T$391,"44743B3Energia horáriaNão se aplicaNão se aplicaNão se aplicaNão se aplicaFora ponta",Mercado_Receita!$N$2:$N$391)</f>
        <v>0.74099999999999999</v>
      </c>
      <c r="T34" s="13">
        <f>SUMIF(Mercado_Receita!$T$2:$T$391,"44774B3Energia horáriaNão se aplicaNão se aplicaNão se aplicaNão se aplicaFora ponta",Mercado_Receita!$N$2:$N$391)</f>
        <v>0.74099999999999999</v>
      </c>
      <c r="U34" s="13">
        <f t="shared" si="0"/>
        <v>9.5989999999999984</v>
      </c>
      <c r="V34" s="13"/>
      <c r="W34" s="13"/>
    </row>
    <row r="35" spans="1:23" ht="11.25" customHeight="1" x14ac:dyDescent="0.3">
      <c r="A35" s="78"/>
      <c r="B35" s="12" t="s">
        <v>86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79</v>
      </c>
      <c r="H35" s="13" t="s">
        <v>72</v>
      </c>
      <c r="I35" s="13">
        <f>SUMIF(Mercado_Receita!$T$2:$T$391,"44440B3Energia convencionalNão se aplicaNão se aplicaNão se aplicaNão se aplicaNão se aplica",Mercado_Receita!$N$2:$N$391)</f>
        <v>248.881</v>
      </c>
      <c r="J35" s="13">
        <f>SUMIF(Mercado_Receita!$T$2:$T$391,"44470B3Energia convencionalNão se aplicaNão se aplicaNão se aplicaNão se aplicaNão se aplica",Mercado_Receita!$N$2:$N$391)</f>
        <v>253.01700000000002</v>
      </c>
      <c r="K35" s="13">
        <f>SUMIF(Mercado_Receita!$T$2:$T$391,"44501B3Energia convencionalNão se aplicaNão se aplicaNão se aplicaNão se aplicaNão se aplica",Mercado_Receita!$N$2:$N$391)</f>
        <v>263.33199999999999</v>
      </c>
      <c r="L35" s="13">
        <f>SUMIF(Mercado_Receita!$T$2:$T$391,"44531B3Energia convencionalNão se aplicaNão se aplicaNão se aplicaNão se aplicaNão se aplica",Mercado_Receita!$N$2:$N$391)</f>
        <v>288.36799999999999</v>
      </c>
      <c r="M35" s="13">
        <f>SUMIF(Mercado_Receita!$T$2:$T$391,"44562B3Energia convencionalNão se aplicaNão se aplicaNão se aplicaNão se aplicaNão se aplica",Mercado_Receita!$N$2:$N$391)</f>
        <v>259.92500000000001</v>
      </c>
      <c r="N35" s="13">
        <f>SUMIF(Mercado_Receita!$T$2:$T$391,"44593B3Energia convencionalNão se aplicaNão se aplicaNão se aplicaNão se aplicaNão se aplica",Mercado_Receita!$N$2:$N$391)</f>
        <v>375.05100000000004</v>
      </c>
      <c r="O35" s="13">
        <f>SUMIF(Mercado_Receita!$T$2:$T$391,"44621B3Energia convencionalNão se aplicaNão se aplicaNão se aplicaNão se aplicaNão se aplica",Mercado_Receita!$N$2:$N$391)</f>
        <v>321.50300000000004</v>
      </c>
      <c r="P35" s="13">
        <f>SUMIF(Mercado_Receita!$T$2:$T$391,"44652B3Energia convencionalNão se aplicaNão se aplicaNão se aplicaNão se aplicaNão se aplica",Mercado_Receita!$N$2:$N$391)</f>
        <v>276.51900000000001</v>
      </c>
      <c r="Q35" s="13">
        <f>SUMIF(Mercado_Receita!$T$2:$T$391,"44682B3Energia convencionalNão se aplicaNão se aplicaNão se aplicaNão se aplicaNão se aplica",Mercado_Receita!$N$2:$N$391)</f>
        <v>229.19800000000001</v>
      </c>
      <c r="R35" s="13">
        <f>SUMIF(Mercado_Receita!$T$2:$T$391,"44713B3Energia convencionalNão se aplicaNão se aplicaNão se aplicaNão se aplicaNão se aplica",Mercado_Receita!$N$2:$N$391)</f>
        <v>243.16399999999999</v>
      </c>
      <c r="S35" s="13">
        <f>SUMIF(Mercado_Receita!$T$2:$T$391,"44743B3Energia convencionalNão se aplicaNão se aplicaNão se aplicaNão se aplicaNão se aplica",Mercado_Receita!$N$2:$N$391)</f>
        <v>237.51900000000003</v>
      </c>
      <c r="T35" s="13">
        <f>SUMIF(Mercado_Receita!$T$2:$T$391,"44774B3Energia convencionalNão se aplicaNão se aplicaNão se aplicaNão se aplicaNão se aplica",Mercado_Receita!$N$2:$N$391)</f>
        <v>237.51900000000003</v>
      </c>
      <c r="U35" s="13">
        <f t="shared" si="0"/>
        <v>3233.996000000001</v>
      </c>
      <c r="V35" s="13"/>
      <c r="W35" s="13"/>
    </row>
    <row r="36" spans="1:23" ht="11.25" customHeight="1" x14ac:dyDescent="0.3">
      <c r="A36" s="78"/>
      <c r="B36" s="12" t="s">
        <v>87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79</v>
      </c>
      <c r="H36" s="13" t="s">
        <v>72</v>
      </c>
      <c r="I36" s="13">
        <f>SUMIF(Mercado_Receita!$T$2:$T$391,"44440B3Energia convencional pré-pagamentoNão se aplicaNão se aplicaNão se aplicaNão se aplicaNão se aplica",Mercado_Receita!$N$2:$N$391)</f>
        <v>0</v>
      </c>
      <c r="J36" s="13">
        <f>SUMIF(Mercado_Receita!$T$2:$T$391,"44470B3Energia convencional pré-pagamentoNão se aplicaNão se aplicaNão se aplicaNão se aplicaNão se aplica",Mercado_Receita!$N$2:$N$391)</f>
        <v>0</v>
      </c>
      <c r="K36" s="13">
        <f>SUMIF(Mercado_Receita!$T$2:$T$391,"44501B3Energia convencional pré-pagamentoNão se aplicaNão se aplicaNão se aplicaNão se aplicaNão se aplica",Mercado_Receita!$N$2:$N$391)</f>
        <v>0</v>
      </c>
      <c r="L36" s="13">
        <f>SUMIF(Mercado_Receita!$T$2:$T$391,"44531B3Energia convencional pré-pagamentoNão se aplicaNão se aplicaNão se aplicaNão se aplicaNão se aplica",Mercado_Receita!$N$2:$N$391)</f>
        <v>0</v>
      </c>
      <c r="M36" s="13">
        <f>SUMIF(Mercado_Receita!$T$2:$T$391,"44562B3Energia convencional pré-pagamentoNão se aplicaNão se aplicaNão se aplicaNão se aplicaNão se aplica",Mercado_Receita!$N$2:$N$391)</f>
        <v>0</v>
      </c>
      <c r="N36" s="13">
        <f>SUMIF(Mercado_Receita!$T$2:$T$391,"44593B3Energia convencional pré-pagamentoNão se aplicaNão se aplicaNão se aplicaNão se aplicaNão se aplica",Mercado_Receita!$N$2:$N$391)</f>
        <v>0</v>
      </c>
      <c r="O36" s="13">
        <f>SUMIF(Mercado_Receita!$T$2:$T$391,"44621B3Energia convencional pré-pagamentoNão se aplicaNão se aplicaNão se aplicaNão se aplicaNão se aplica",Mercado_Receita!$N$2:$N$391)</f>
        <v>0</v>
      </c>
      <c r="P36" s="13">
        <f>SUMIF(Mercado_Receita!$T$2:$T$391,"44652B3Energia convencional pré-pagamentoNão se aplicaNão se aplicaNão se aplicaNão se aplicaNão se aplica",Mercado_Receita!$N$2:$N$391)</f>
        <v>0</v>
      </c>
      <c r="Q36" s="13">
        <f>SUMIF(Mercado_Receita!$T$2:$T$391,"44682B3Energia convencional pré-pagamentoNão se aplicaNão se aplicaNão se aplicaNão se aplicaNão se aplica",Mercado_Receita!$N$2:$N$391)</f>
        <v>0</v>
      </c>
      <c r="R36" s="13">
        <f>SUMIF(Mercado_Receita!$T$2:$T$391,"44713B3Energia convencional pré-pagamentoNão se aplicaNão se aplicaNão se aplicaNão se aplicaNão se aplica",Mercado_Receita!$N$2:$N$391)</f>
        <v>0</v>
      </c>
      <c r="S36" s="13">
        <f>SUMIF(Mercado_Receita!$T$2:$T$391,"44743B3Energia convencional pré-pagamentoNão se aplicaNão se aplicaNão se aplicaNão se aplicaNão se aplica",Mercado_Receita!$N$2:$N$391)</f>
        <v>0</v>
      </c>
      <c r="T36" s="13">
        <f>SUMIF(Mercado_Receita!$T$2:$T$391,"44774B3Energia convencional pré-pagamentoNão se aplicaNão se aplicaNão se aplicaNão se aplicaNão se aplica",Mercado_Receita!$N$2:$N$391)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7" t="s">
        <v>45</v>
      </c>
      <c r="B37" s="77" t="s">
        <v>86</v>
      </c>
      <c r="C37" s="77" t="s">
        <v>46</v>
      </c>
      <c r="D37" s="12" t="s">
        <v>47</v>
      </c>
      <c r="E37" s="12" t="s">
        <v>25</v>
      </c>
      <c r="F37" s="12" t="s">
        <v>25</v>
      </c>
      <c r="G37" s="13" t="s">
        <v>79</v>
      </c>
      <c r="H37" s="13" t="s">
        <v>72</v>
      </c>
      <c r="I37" s="13">
        <f>SUMIF(Mercado_Receita!$T$2:$T$391,"44440B4Energia convencionalIluminação públicaIluminação pública – B4aNão se aplicaNão se aplicaNão se aplica",Mercado_Receita!$N$2:$N$391)</f>
        <v>96.787000000000006</v>
      </c>
      <c r="J37" s="13">
        <f>SUMIF(Mercado_Receita!$T$2:$T$391,"44470B4Energia convencionalIluminação públicaIluminação pública – B4aNão se aplicaNão se aplicaNão se aplica",Mercado_Receita!$N$2:$N$391)</f>
        <v>99.171999999999997</v>
      </c>
      <c r="K37" s="13">
        <f>SUMIF(Mercado_Receita!$T$2:$T$391,"44501B4Energia convencionalIluminação públicaIluminação pública – B4aNão se aplicaNão se aplicaNão se aplica",Mercado_Receita!$N$2:$N$391)</f>
        <v>90.504000000000005</v>
      </c>
      <c r="L37" s="13">
        <f>SUMIF(Mercado_Receita!$T$2:$T$391,"44531B4Energia convencionalIluminação públicaIluminação pública – B4aNão se aplicaNão se aplicaNão se aplica",Mercado_Receita!$N$2:$N$391)</f>
        <v>94.962000000000003</v>
      </c>
      <c r="M37" s="13">
        <f>SUMIF(Mercado_Receita!$T$2:$T$391,"44562B4Energia convencionalIluminação públicaIluminação pública – B4aNão se aplicaNão se aplicaNão se aplica",Mercado_Receita!$N$2:$N$391)</f>
        <v>92.894000000000005</v>
      </c>
      <c r="N37" s="13">
        <f>SUMIF(Mercado_Receita!$T$2:$T$391,"44593B4Energia convencionalIluminação públicaIluminação pública – B4aNão se aplicaNão se aplicaNão se aplica",Mercado_Receita!$N$2:$N$391)</f>
        <v>92.475999999999999</v>
      </c>
      <c r="O37" s="13">
        <f>SUMIF(Mercado_Receita!$T$2:$T$391,"44621B4Energia convencionalIluminação públicaIluminação pública – B4aNão se aplicaNão se aplicaNão se aplica",Mercado_Receita!$N$2:$N$391)</f>
        <v>92.998999999999995</v>
      </c>
      <c r="P37" s="13">
        <f>SUMIF(Mercado_Receita!$T$2:$T$391,"44652B4Energia convencionalIluminação públicaIluminação pública – B4aNão se aplicaNão se aplicaNão se aplica",Mercado_Receita!$N$2:$N$391)</f>
        <v>100.651</v>
      </c>
      <c r="Q37" s="13">
        <f>SUMIF(Mercado_Receita!$T$2:$T$391,"44682B4Energia convencionalIluminação públicaIluminação pública – B4aNão se aplicaNão se aplicaNão se aplica",Mercado_Receita!$N$2:$N$391)</f>
        <v>103.706</v>
      </c>
      <c r="R37" s="13">
        <f>SUMIF(Mercado_Receita!$T$2:$T$391,"44713B4Energia convencionalIluminação públicaIluminação pública – B4aNão se aplicaNão se aplicaNão se aplica",Mercado_Receita!$N$2:$N$391)</f>
        <v>110.32899999999999</v>
      </c>
      <c r="S37" s="13">
        <f>SUMIF(Mercado_Receita!$T$2:$T$391,"44743B4Energia convencionalIluminação públicaIluminação pública – B4aNão se aplicaNão se aplicaNão se aplica",Mercado_Receita!$N$2:$N$391)</f>
        <v>117.774</v>
      </c>
      <c r="T37" s="13">
        <f>SUMIF(Mercado_Receita!$T$2:$T$391,"44774B4Energia convencionalIluminação públicaIluminação pública – B4aNão se aplicaNão se aplicaNão se aplica",Mercado_Receita!$N$2:$N$391)</f>
        <v>117.774</v>
      </c>
      <c r="U37" s="13">
        <f t="shared" si="0"/>
        <v>1210.0279999999998</v>
      </c>
      <c r="V37" s="13"/>
      <c r="W37" s="13"/>
    </row>
    <row r="38" spans="1:23" ht="11.25" customHeight="1" x14ac:dyDescent="0.3">
      <c r="A38" s="78"/>
      <c r="B38" s="78"/>
      <c r="C38" s="78"/>
      <c r="D38" s="13" t="s">
        <v>91</v>
      </c>
      <c r="E38" s="13" t="s">
        <v>25</v>
      </c>
      <c r="F38" s="13" t="s">
        <v>25</v>
      </c>
      <c r="G38" s="13" t="s">
        <v>79</v>
      </c>
      <c r="H38" s="13" t="s">
        <v>72</v>
      </c>
      <c r="I38" s="13">
        <f>SUMIF(Mercado_Receita!$T$2:$T$391,"44440B4Energia convencionalIluminação públicaIluminação pública – B4bNão se aplicaNão se aplicaNão se aplica",Mercado_Receita!$N$2:$N$391)</f>
        <v>0</v>
      </c>
      <c r="J38" s="13">
        <f>SUMIF(Mercado_Receita!$T$2:$T$391,"44470B4Energia convencionalIluminação públicaIluminação pública – B4bNão se aplicaNão se aplicaNão se aplica",Mercado_Receita!$N$2:$N$391)</f>
        <v>0</v>
      </c>
      <c r="K38" s="13">
        <f>SUMIF(Mercado_Receita!$T$2:$T$391,"44501B4Energia convencionalIluminação públicaIluminação pública – B4bNão se aplicaNão se aplicaNão se aplica",Mercado_Receita!$N$2:$N$391)</f>
        <v>0</v>
      </c>
      <c r="L38" s="13">
        <f>SUMIF(Mercado_Receita!$T$2:$T$391,"44531B4Energia convencionalIluminação públicaIluminação pública – B4bNão se aplicaNão se aplicaNão se aplica",Mercado_Receita!$N$2:$N$391)</f>
        <v>0</v>
      </c>
      <c r="M38" s="13">
        <f>SUMIF(Mercado_Receita!$T$2:$T$391,"44562B4Energia convencionalIluminação públicaIluminação pública – B4bNão se aplicaNão se aplicaNão se aplica",Mercado_Receita!$N$2:$N$391)</f>
        <v>0</v>
      </c>
      <c r="N38" s="13">
        <f>SUMIF(Mercado_Receita!$T$2:$T$391,"44593B4Energia convencionalIluminação públicaIluminação pública – B4bNão se aplicaNão se aplicaNão se aplica",Mercado_Receita!$N$2:$N$391)</f>
        <v>0</v>
      </c>
      <c r="O38" s="13">
        <f>SUMIF(Mercado_Receita!$T$2:$T$391,"44621B4Energia convencionalIluminação públicaIluminação pública – B4bNão se aplicaNão se aplicaNão se aplica",Mercado_Receita!$N$2:$N$391)</f>
        <v>0</v>
      </c>
      <c r="P38" s="13">
        <f>SUMIF(Mercado_Receita!$T$2:$T$391,"44652B4Energia convencionalIluminação públicaIluminação pública – B4bNão se aplicaNão se aplicaNão se aplica",Mercado_Receita!$N$2:$N$391)</f>
        <v>0</v>
      </c>
      <c r="Q38" s="13">
        <f>SUMIF(Mercado_Receita!$T$2:$T$391,"44682B4Energia convencionalIluminação públicaIluminação pública – B4bNão se aplicaNão se aplicaNão se aplica",Mercado_Receita!$N$2:$N$391)</f>
        <v>0</v>
      </c>
      <c r="R38" s="13">
        <f>SUMIF(Mercado_Receita!$T$2:$T$391,"44713B4Energia convencionalIluminação públicaIluminação pública – B4bNão se aplicaNão se aplicaNão se aplica",Mercado_Receita!$N$2:$N$391)</f>
        <v>0</v>
      </c>
      <c r="S38" s="13">
        <f>SUMIF(Mercado_Receita!$T$2:$T$391,"44743B4Energia convencionalIluminação públicaIluminação pública – B4bNão se aplicaNão se aplicaNão se aplica",Mercado_Receita!$N$2:$N$391)</f>
        <v>0</v>
      </c>
      <c r="T38" s="13">
        <f>SUMIF(Mercado_Receita!$T$2:$T$391,"44774B4Energia convencionalIluminação públicaIluminação pública – B4bNão se aplicaNão se aplicaNão se aplica",Mercado_Receita!$N$2:$N$391)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9" t="s">
        <v>422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0DDF-0D16-45C2-8A9B-9F08A3142D1D}">
  <dimension ref="A1:AD200"/>
  <sheetViews>
    <sheetView showGridLines="0" topLeftCell="A10" workbookViewId="0">
      <selection activeCell="G48" sqref="G48"/>
    </sheetView>
  </sheetViews>
  <sheetFormatPr defaultColWidth="9.109375" defaultRowHeight="12" customHeight="1" x14ac:dyDescent="0.2"/>
  <cols>
    <col min="1" max="1" width="10.5546875" style="14" bestFit="1" customWidth="1"/>
    <col min="2" max="2" width="14.44140625" style="14" bestFit="1" customWidth="1"/>
    <col min="3" max="3" width="18.44140625" style="14" bestFit="1" customWidth="1"/>
    <col min="4" max="4" width="15" style="14" bestFit="1" customWidth="1"/>
    <col min="5" max="5" width="14.5546875" style="14" bestFit="1" customWidth="1"/>
    <col min="6" max="6" width="4.44140625" style="14" bestFit="1" customWidth="1"/>
    <col min="7" max="7" width="10.88671875" style="14" bestFit="1" customWidth="1"/>
    <col min="8" max="11" width="9.109375" style="14"/>
    <col min="12" max="12" width="34.109375" style="14" bestFit="1" customWidth="1"/>
    <col min="13" max="13" width="10" style="14" bestFit="1" customWidth="1"/>
    <col min="14" max="14" width="9.109375" style="14"/>
    <col min="15" max="15" width="30.6640625" style="14" customWidth="1"/>
    <col min="16" max="16" width="13.5546875" style="14" bestFit="1" customWidth="1"/>
    <col min="17" max="16384" width="9.109375" style="14"/>
  </cols>
  <sheetData>
    <row r="1" spans="1:30" ht="12" customHeight="1" x14ac:dyDescent="0.2">
      <c r="A1" s="10" t="s">
        <v>462</v>
      </c>
      <c r="B1" s="10" t="s">
        <v>463</v>
      </c>
      <c r="C1" s="10" t="s">
        <v>464</v>
      </c>
      <c r="D1" s="10" t="s">
        <v>465</v>
      </c>
      <c r="E1" s="10" t="s">
        <v>466</v>
      </c>
      <c r="F1" s="10" t="s">
        <v>467</v>
      </c>
      <c r="G1" s="7"/>
      <c r="H1" s="7"/>
      <c r="I1" s="7"/>
      <c r="J1" s="7"/>
      <c r="K1" s="7"/>
      <c r="L1" s="85" t="s">
        <v>468</v>
      </c>
      <c r="M1" s="90"/>
      <c r="N1" s="7"/>
      <c r="O1" s="85" t="s">
        <v>555</v>
      </c>
      <c r="P1" s="86"/>
      <c r="Q1" s="86"/>
      <c r="R1" s="86"/>
      <c r="S1" s="86"/>
      <c r="T1" s="86"/>
      <c r="U1" s="86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1" t="s">
        <v>423</v>
      </c>
      <c r="B2" s="81" t="s">
        <v>424</v>
      </c>
      <c r="C2" s="16" t="s">
        <v>509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3" t="s">
        <v>469</v>
      </c>
      <c r="M2" s="17">
        <v>0.1694</v>
      </c>
      <c r="N2" s="15"/>
      <c r="O2" s="34" t="s">
        <v>556</v>
      </c>
      <c r="P2" s="34" t="s">
        <v>557</v>
      </c>
      <c r="Q2" s="34" t="s">
        <v>558</v>
      </c>
      <c r="R2" s="34" t="s">
        <v>35</v>
      </c>
      <c r="S2" s="34" t="s">
        <v>559</v>
      </c>
      <c r="T2" s="34" t="s">
        <v>82</v>
      </c>
      <c r="U2" s="34"/>
      <c r="V2" s="15"/>
      <c r="W2" s="15"/>
      <c r="X2" s="13" t="s">
        <v>522</v>
      </c>
      <c r="Y2" s="15"/>
      <c r="Z2" s="15"/>
      <c r="AA2" s="15" t="s">
        <v>567</v>
      </c>
      <c r="AB2" s="15"/>
      <c r="AC2" s="15"/>
      <c r="AD2" s="15"/>
    </row>
    <row r="3" spans="1:30" ht="12" customHeight="1" x14ac:dyDescent="0.2">
      <c r="A3" s="91"/>
      <c r="B3" s="91"/>
      <c r="C3" s="16" t="s">
        <v>425</v>
      </c>
      <c r="D3" s="13">
        <v>46023.713893769425</v>
      </c>
      <c r="E3" s="13">
        <v>-853.90027895057767</v>
      </c>
      <c r="F3" s="13">
        <v>0</v>
      </c>
      <c r="G3" s="15"/>
      <c r="H3" s="15"/>
      <c r="I3" s="15"/>
      <c r="J3" s="15"/>
      <c r="K3" s="15"/>
      <c r="L3" s="13" t="s">
        <v>470</v>
      </c>
      <c r="M3" s="17"/>
      <c r="N3" s="15"/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 t="s">
        <v>560</v>
      </c>
      <c r="V3" s="15"/>
      <c r="W3" s="15"/>
      <c r="X3" s="13" t="s">
        <v>523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91"/>
      <c r="B4" s="91"/>
      <c r="C4" s="16" t="s">
        <v>426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471</v>
      </c>
      <c r="M4" s="17">
        <v>8.5874515481677571E-2</v>
      </c>
      <c r="N4" s="15"/>
      <c r="O4" s="35">
        <v>1</v>
      </c>
      <c r="P4" s="35">
        <v>1</v>
      </c>
      <c r="Q4" s="35">
        <v>1</v>
      </c>
      <c r="R4" s="35">
        <v>1</v>
      </c>
      <c r="S4" s="35">
        <v>1</v>
      </c>
      <c r="T4" s="35">
        <v>1</v>
      </c>
      <c r="U4" s="35" t="s">
        <v>81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91"/>
      <c r="B5" s="91"/>
      <c r="C5" s="16" t="s">
        <v>427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472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91"/>
      <c r="B6" s="91"/>
      <c r="C6" s="16" t="s">
        <v>428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473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91"/>
      <c r="B7" s="91"/>
      <c r="C7" s="16" t="s">
        <v>429</v>
      </c>
      <c r="D7" s="13">
        <v>3294285.67936</v>
      </c>
      <c r="E7" s="13">
        <v>-120209.74283909067</v>
      </c>
      <c r="F7" s="13">
        <v>0</v>
      </c>
      <c r="G7" s="15"/>
      <c r="H7" s="15"/>
      <c r="I7" s="15"/>
      <c r="J7" s="15"/>
      <c r="K7" s="15"/>
      <c r="L7" s="13" t="s">
        <v>474</v>
      </c>
      <c r="M7" s="13">
        <f>M8+M9+M10+M11</f>
        <v>1964.7201562170678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91"/>
      <c r="B8" s="91"/>
      <c r="C8" s="16" t="s">
        <v>430</v>
      </c>
      <c r="D8" s="13">
        <v>577427.02811999992</v>
      </c>
      <c r="E8" s="13">
        <v>-24479.030390304055</v>
      </c>
      <c r="F8" s="13">
        <v>0</v>
      </c>
      <c r="G8" s="15"/>
      <c r="H8" s="15"/>
      <c r="I8" s="15"/>
      <c r="J8" s="15"/>
      <c r="K8" s="15"/>
      <c r="L8" s="18" t="s">
        <v>475</v>
      </c>
      <c r="M8" s="13">
        <v>284.04911621706771</v>
      </c>
      <c r="N8" s="15"/>
      <c r="O8" s="13" t="s">
        <v>508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91"/>
      <c r="B9" s="91"/>
      <c r="C9" s="16" t="s">
        <v>431</v>
      </c>
      <c r="D9" s="13"/>
      <c r="E9" s="13"/>
      <c r="F9" s="13"/>
      <c r="G9" s="15"/>
      <c r="H9" s="15"/>
      <c r="I9" s="15"/>
      <c r="J9" s="15"/>
      <c r="K9" s="15"/>
      <c r="L9" s="19" t="s">
        <v>476</v>
      </c>
      <c r="M9" s="13">
        <v>0</v>
      </c>
      <c r="N9" s="15"/>
      <c r="O9" s="13" t="s">
        <v>513</v>
      </c>
      <c r="P9" s="22">
        <f>SUM(Mercado_Receita!$J$2:$J$391)</f>
        <v>72477</v>
      </c>
      <c r="Q9" s="22">
        <v>72477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91"/>
      <c r="B10" s="82"/>
      <c r="C10" s="16" t="s">
        <v>432</v>
      </c>
      <c r="D10" s="13">
        <f>SUM(D$2:D9)</f>
        <v>3917736.4213737692</v>
      </c>
      <c r="E10" s="13">
        <f>SUM(E$2:E9)</f>
        <v>-145542.67350834529</v>
      </c>
      <c r="F10" s="13">
        <f>SUM(F$2:F9)</f>
        <v>0</v>
      </c>
      <c r="G10" s="15"/>
      <c r="H10" s="15"/>
      <c r="I10" s="15"/>
      <c r="J10" s="15"/>
      <c r="K10" s="15"/>
      <c r="L10" s="18" t="s">
        <v>477</v>
      </c>
      <c r="M10" s="13">
        <v>11.47906912183679</v>
      </c>
      <c r="N10" s="15"/>
      <c r="O10" s="13" t="s">
        <v>514</v>
      </c>
      <c r="P10" s="22">
        <f>SUM(Mercado_Receita!$L$2:$L$391)</f>
        <v>41304.090000000026</v>
      </c>
      <c r="Q10" s="22">
        <v>41304.089999999997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91"/>
      <c r="B11" s="81" t="s">
        <v>433</v>
      </c>
      <c r="C11" s="16" t="s">
        <v>434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478</v>
      </c>
      <c r="M11" s="13">
        <v>1669.1919708781634</v>
      </c>
      <c r="N11" s="15"/>
      <c r="O11" s="13" t="s">
        <v>515</v>
      </c>
      <c r="P11" s="22">
        <f>SUM(Mercado_Receita!$N$2:$N$391)</f>
        <v>41304.090000000026</v>
      </c>
      <c r="Q11" s="22">
        <v>41304.089999999997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91"/>
      <c r="B12" s="91"/>
      <c r="C12" s="16" t="s">
        <v>435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479</v>
      </c>
      <c r="M12" s="13">
        <v>43268.810156217063</v>
      </c>
      <c r="N12" s="15"/>
      <c r="O12" s="13" t="s">
        <v>516</v>
      </c>
      <c r="P12" s="22">
        <f>SUMIF('MERCADO TUSD'!$H$2:$H$48,"kW",'MERCADO TUSD'!$U$2:$U$48)</f>
        <v>72477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91"/>
      <c r="B13" s="91"/>
      <c r="C13" s="16" t="s">
        <v>436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480</v>
      </c>
      <c r="M13" s="13">
        <v>659.81567944888718</v>
      </c>
      <c r="N13" s="15"/>
      <c r="O13" s="13" t="s">
        <v>517</v>
      </c>
      <c r="P13" s="22">
        <f>SUMIF('MERCADO TUSD'!$H$2:$H$48,"MWh",'MERCADO TUSD'!$U$2:$U$48)</f>
        <v>41304.090000000004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91"/>
      <c r="B14" s="91"/>
      <c r="C14" s="16" t="s">
        <v>437</v>
      </c>
      <c r="D14" s="13"/>
      <c r="E14" s="13"/>
      <c r="F14" s="13"/>
      <c r="G14" s="15"/>
      <c r="H14" s="15"/>
      <c r="I14" s="15"/>
      <c r="J14" s="15"/>
      <c r="K14" s="15"/>
      <c r="L14" s="13" t="s">
        <v>481</v>
      </c>
      <c r="M14" s="13">
        <v>161.02307420479161</v>
      </c>
      <c r="N14" s="15"/>
      <c r="O14" s="13" t="s">
        <v>518</v>
      </c>
      <c r="P14" s="22">
        <f>SUMIF('MERCADO TE'!$H$2:$H$38,"MWh",'MERCADO TE'!$U$2:$U$38)</f>
        <v>41304.090000000004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91"/>
      <c r="B15" s="91"/>
      <c r="C15" s="16" t="s">
        <v>438</v>
      </c>
      <c r="D15" s="13">
        <v>4210458.682</v>
      </c>
      <c r="E15" s="13">
        <v>101885.57692599652</v>
      </c>
      <c r="F15" s="13">
        <v>0</v>
      </c>
      <c r="G15" s="15"/>
      <c r="H15" s="15"/>
      <c r="I15" s="15"/>
      <c r="J15" s="15"/>
      <c r="K15" s="15"/>
      <c r="L15" s="13" t="s">
        <v>482</v>
      </c>
      <c r="M15" s="13">
        <f>M14*M12</f>
        <v>6967276.8285375815</v>
      </c>
      <c r="N15" s="15"/>
      <c r="O15" s="13" t="s">
        <v>519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91"/>
      <c r="B16" s="91"/>
      <c r="C16" s="16" t="s">
        <v>439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483</v>
      </c>
      <c r="M16" s="13">
        <v>99756.069414461308</v>
      </c>
      <c r="N16" s="15"/>
      <c r="O16" s="13" t="s">
        <v>520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91"/>
      <c r="B17" s="91"/>
      <c r="C17" s="16" t="s">
        <v>440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484</v>
      </c>
      <c r="M17" s="13">
        <v>0</v>
      </c>
      <c r="N17" s="15"/>
      <c r="O17" s="13" t="s">
        <v>521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91"/>
      <c r="B18" s="82"/>
      <c r="C18" s="16" t="s">
        <v>432</v>
      </c>
      <c r="D18" s="13">
        <f>SUM(D$11:D17)</f>
        <v>4210458.682</v>
      </c>
      <c r="E18" s="13">
        <f>SUM(E$11:E17)</f>
        <v>101885.57692599652</v>
      </c>
      <c r="F18" s="13">
        <f>SUM(F$11:F17)</f>
        <v>0</v>
      </c>
      <c r="G18" s="15"/>
      <c r="H18" s="15"/>
      <c r="I18" s="15"/>
      <c r="J18" s="15"/>
      <c r="K18" s="15"/>
      <c r="L18" s="13" t="s">
        <v>485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91"/>
      <c r="B19" s="81" t="s">
        <v>441</v>
      </c>
      <c r="C19" s="16" t="s">
        <v>442</v>
      </c>
      <c r="D19" s="13">
        <v>10281408.04154011</v>
      </c>
      <c r="E19" s="13">
        <v>-3626354.5267763063</v>
      </c>
      <c r="F19" s="13">
        <v>0</v>
      </c>
      <c r="G19" s="15"/>
      <c r="H19" s="15"/>
      <c r="I19" s="15"/>
      <c r="J19" s="15"/>
      <c r="K19" s="15"/>
      <c r="L19" s="13" t="s">
        <v>486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91"/>
      <c r="B20" s="82"/>
      <c r="C20" s="16" t="s">
        <v>432</v>
      </c>
      <c r="D20" s="13">
        <f>SUM(D$19:D19)</f>
        <v>10281408.04154011</v>
      </c>
      <c r="E20" s="13">
        <f>SUM(E$19:E19)</f>
        <v>-3626354.5267763063</v>
      </c>
      <c r="F20" s="13">
        <f>SUM(F$19:F19)</f>
        <v>0</v>
      </c>
      <c r="G20" s="15"/>
      <c r="H20" s="15"/>
      <c r="I20" s="15"/>
      <c r="J20" s="15"/>
      <c r="K20" s="15"/>
      <c r="L20" s="13" t="s">
        <v>487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91"/>
      <c r="B21" s="81" t="s">
        <v>443</v>
      </c>
      <c r="C21" s="16" t="s">
        <v>444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13" t="s">
        <v>488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91"/>
      <c r="B22" s="91"/>
      <c r="C22" s="16" t="s">
        <v>445</v>
      </c>
      <c r="D22" s="13"/>
      <c r="E22" s="13"/>
      <c r="F22" s="13"/>
      <c r="G22" s="15"/>
      <c r="H22" s="15"/>
      <c r="I22" s="15"/>
      <c r="J22" s="15"/>
      <c r="K22" s="15"/>
      <c r="L22" s="13" t="s">
        <v>510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91"/>
      <c r="B23" s="82"/>
      <c r="C23" s="16" t="s">
        <v>432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13" t="s">
        <v>489</v>
      </c>
      <c r="M23" s="13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91"/>
      <c r="B24" s="81" t="s">
        <v>446</v>
      </c>
      <c r="C24" s="16" t="s">
        <v>447</v>
      </c>
      <c r="D24" s="13">
        <f>$M$14*$M$8</f>
        <v>45738.461918426372</v>
      </c>
      <c r="E24" s="13">
        <f>$M$16*$M$8/$M$12</f>
        <v>654.8741056701972</v>
      </c>
      <c r="F24" s="13">
        <f>$M$17*$M$8/$M$12</f>
        <v>0</v>
      </c>
      <c r="G24" s="15"/>
      <c r="H24" s="15"/>
      <c r="I24" s="15"/>
      <c r="J24" s="15"/>
      <c r="K24" s="15"/>
      <c r="L24" s="13" t="s">
        <v>490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91"/>
      <c r="B25" s="91"/>
      <c r="C25" s="16" t="s">
        <v>448</v>
      </c>
      <c r="D25" s="13">
        <f>$M$14*$M$10</f>
        <v>1848.3949990074575</v>
      </c>
      <c r="E25" s="13">
        <f>$M$16*$M$10/$M$12</f>
        <v>26.464948123072343</v>
      </c>
      <c r="F25" s="13">
        <f>$M$17*$M$10/$M$12</f>
        <v>0</v>
      </c>
      <c r="G25" s="15"/>
      <c r="H25" s="15"/>
      <c r="I25" s="15"/>
      <c r="J25" s="15"/>
      <c r="K25" s="15"/>
      <c r="L25" s="13" t="s">
        <v>491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91"/>
      <c r="B26" s="91"/>
      <c r="C26" s="16" t="s">
        <v>449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13" t="s">
        <v>492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91"/>
      <c r="B27" s="91"/>
      <c r="C27" s="16" t="s">
        <v>450</v>
      </c>
      <c r="D27" s="13"/>
      <c r="E27" s="13"/>
      <c r="F27" s="13"/>
      <c r="G27" s="15"/>
      <c r="H27" s="15"/>
      <c r="I27" s="15"/>
      <c r="J27" s="15"/>
      <c r="K27" s="15"/>
      <c r="L27" s="13" t="s">
        <v>493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91"/>
      <c r="B28" s="82"/>
      <c r="C28" s="16" t="s">
        <v>432</v>
      </c>
      <c r="D28" s="13">
        <f>SUM(D$24:D27)</f>
        <v>47586.856917433826</v>
      </c>
      <c r="E28" s="13">
        <f>SUM(E$24:E27)</f>
        <v>681.3390537932695</v>
      </c>
      <c r="F28" s="13">
        <f>SUM(F$24:F27)</f>
        <v>0</v>
      </c>
      <c r="G28" s="15"/>
      <c r="H28" s="15"/>
      <c r="I28" s="15"/>
      <c r="J28" s="15"/>
      <c r="K28" s="15"/>
      <c r="L28" s="13" t="s">
        <v>494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2"/>
      <c r="B29" s="83" t="s">
        <v>432</v>
      </c>
      <c r="C29" s="84"/>
      <c r="D29" s="13">
        <f>SUMIF(C$2:C28,"SUBTOTAL",D$2:D28)</f>
        <v>18457190.001831315</v>
      </c>
      <c r="E29" s="13">
        <f>SUMIF(C$2:C28,"SUBTOTAL",E$2:E28)</f>
        <v>-3669330.2843048619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495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1" t="s">
        <v>451</v>
      </c>
      <c r="B30" s="81" t="s">
        <v>424</v>
      </c>
      <c r="C30" s="16" t="s">
        <v>426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496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91"/>
      <c r="B31" s="91"/>
      <c r="C31" s="16" t="s">
        <v>452</v>
      </c>
      <c r="D31" s="13">
        <v>1190477.8099999998</v>
      </c>
      <c r="E31" s="13">
        <v>140497.53145800333</v>
      </c>
      <c r="F31" s="13">
        <v>0</v>
      </c>
      <c r="G31" s="15"/>
      <c r="H31" s="15"/>
      <c r="I31" s="15"/>
      <c r="J31" s="15"/>
      <c r="K31" s="15"/>
      <c r="L31" s="13" t="s">
        <v>497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91"/>
      <c r="B32" s="91"/>
      <c r="C32" s="16" t="s">
        <v>453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498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91"/>
      <c r="B33" s="91"/>
      <c r="C33" s="16" t="s">
        <v>512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499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91"/>
      <c r="B34" s="91"/>
      <c r="C34" s="16" t="s">
        <v>454</v>
      </c>
      <c r="D34" s="13">
        <v>-564354.49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500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91"/>
      <c r="B35" s="82"/>
      <c r="C35" s="16" t="s">
        <v>432</v>
      </c>
      <c r="D35" s="13">
        <f>SUM(D$30:D34)</f>
        <v>626123.31999999983</v>
      </c>
      <c r="E35" s="13">
        <f>SUM(E$30:E34)</f>
        <v>140497.53145800333</v>
      </c>
      <c r="F35" s="13">
        <f>SUM(F$30:F34)</f>
        <v>0</v>
      </c>
      <c r="G35" s="15"/>
      <c r="H35" s="15"/>
      <c r="I35" s="15"/>
      <c r="J35" s="15"/>
      <c r="K35" s="15"/>
      <c r="L35" s="13" t="s">
        <v>501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91"/>
      <c r="B36" s="81" t="s">
        <v>455</v>
      </c>
      <c r="C36" s="16" t="s">
        <v>456</v>
      </c>
      <c r="D36" s="13">
        <f>$M$14*($M$12-$M$7)</f>
        <v>6650911.5490313908</v>
      </c>
      <c r="E36" s="13">
        <f>$M$16*($M$12-$M$7)/$M$12</f>
        <v>95226.414922554279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502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91"/>
      <c r="B37" s="82"/>
      <c r="C37" s="16" t="s">
        <v>432</v>
      </c>
      <c r="D37" s="13">
        <f>SUM(D$36:D36)</f>
        <v>6650911.5490313908</v>
      </c>
      <c r="E37" s="13">
        <f>SUM(E$36:E36)</f>
        <v>95226.414922554279</v>
      </c>
      <c r="F37" s="13">
        <f>SUM(F$36:F36)</f>
        <v>0</v>
      </c>
      <c r="G37" s="15"/>
      <c r="H37" s="15"/>
      <c r="I37" s="15"/>
      <c r="J37" s="15"/>
      <c r="K37" s="15"/>
      <c r="L37" s="13" t="s">
        <v>503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91"/>
      <c r="B38" s="81" t="s">
        <v>433</v>
      </c>
      <c r="C38" s="16" t="s">
        <v>457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504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561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91"/>
      <c r="B39" s="91"/>
      <c r="C39" s="16" t="s">
        <v>458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505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578</v>
      </c>
      <c r="P39" s="15" t="s">
        <v>579</v>
      </c>
      <c r="Q39" s="15" t="s">
        <v>580</v>
      </c>
      <c r="R39" s="15" t="s">
        <v>581</v>
      </c>
      <c r="S39" s="15" t="s">
        <v>1</v>
      </c>
      <c r="T39" s="15" t="s">
        <v>582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91"/>
      <c r="B40" s="91"/>
      <c r="C40" s="16" t="s">
        <v>459</v>
      </c>
      <c r="D40" s="13"/>
      <c r="E40" s="13"/>
      <c r="F40" s="13"/>
      <c r="G40" s="15"/>
      <c r="H40" s="15"/>
      <c r="I40" s="15"/>
      <c r="J40" s="15"/>
      <c r="K40" s="15"/>
      <c r="L40" s="13" t="s">
        <v>506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9"/>
      <c r="P40" s="39"/>
      <c r="Q40" s="39"/>
      <c r="R40" s="39"/>
      <c r="S40" s="39"/>
      <c r="T40" s="39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91"/>
      <c r="B41" s="82"/>
      <c r="C41" s="16" t="s">
        <v>432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9"/>
      <c r="P41" s="39"/>
      <c r="Q41" s="39"/>
      <c r="R41" s="39"/>
      <c r="S41" s="39"/>
      <c r="T41" s="39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91"/>
      <c r="B42" s="81" t="s">
        <v>443</v>
      </c>
      <c r="C42" s="16" t="s">
        <v>444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9"/>
      <c r="P42" s="39"/>
      <c r="Q42" s="39"/>
      <c r="R42" s="39"/>
      <c r="S42" s="39"/>
      <c r="T42" s="39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91"/>
      <c r="B43" s="82"/>
      <c r="C43" s="16" t="s">
        <v>432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9"/>
      <c r="P43" s="39"/>
      <c r="Q43" s="39"/>
      <c r="R43" s="39"/>
      <c r="S43" s="39"/>
      <c r="T43" s="39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91"/>
      <c r="B44" s="81" t="s">
        <v>446</v>
      </c>
      <c r="C44" s="16" t="s">
        <v>460</v>
      </c>
      <c r="D44" s="13">
        <f>$M$14*$M$11</f>
        <v>268778.42258875689</v>
      </c>
      <c r="E44" s="13">
        <f>$M$16*$M$11/$M$12</f>
        <v>3848.3154381137597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9"/>
      <c r="P44" s="39"/>
      <c r="Q44" s="39"/>
      <c r="R44" s="39"/>
      <c r="S44" s="39"/>
      <c r="T44" s="39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91"/>
      <c r="B45" s="82"/>
      <c r="C45" s="16" t="s">
        <v>432</v>
      </c>
      <c r="D45" s="13">
        <f>SUM(D$44:D44)</f>
        <v>268778.42258875689</v>
      </c>
      <c r="E45" s="13">
        <f>SUM(E$44:E44)</f>
        <v>3848.3154381137597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9"/>
      <c r="P45" s="39"/>
      <c r="Q45" s="39"/>
      <c r="R45" s="39"/>
      <c r="S45" s="39"/>
      <c r="T45" s="39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82"/>
      <c r="B46" s="83" t="s">
        <v>432</v>
      </c>
      <c r="C46" s="84"/>
      <c r="D46" s="13">
        <f>SUMIF(C$30:C45,"SUBTOTAL",D$30:D45)</f>
        <v>7545813.2916201474</v>
      </c>
      <c r="E46" s="13">
        <f>SUMIF(C$30:C45,"SUBTOTAL",E$30:E45)</f>
        <v>239572.26181867137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9"/>
      <c r="P46" s="39"/>
      <c r="Q46" s="39"/>
      <c r="R46" s="39"/>
      <c r="S46" s="39"/>
      <c r="T46" s="39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83" t="s">
        <v>461</v>
      </c>
      <c r="B47" s="89"/>
      <c r="C47" s="84"/>
      <c r="D47" s="13">
        <f>SUMIF(C$2:C46,"SUBTOTAL",D$2:D46)</f>
        <v>26003003.293451466</v>
      </c>
      <c r="E47" s="13">
        <f>SUMIF(C$2:C46,"SUBTOTAL",E$2:E46)</f>
        <v>-3429758.0224861908</v>
      </c>
      <c r="F47" s="13">
        <f>SUMIF(C$2:C46,"SUBTOTAL",F$2:F46)</f>
        <v>0</v>
      </c>
      <c r="G47" s="15">
        <f ca="1">EFEITO!AU9+SUBSIDIO!AJ5+SUBSIDIO!AJ6+SUBSIDIO!AJ7+SUBSIDIO!AJ8</f>
        <v>22573245.270965062</v>
      </c>
      <c r="H47" s="15"/>
      <c r="I47" s="15"/>
      <c r="J47" s="15"/>
      <c r="K47" s="15"/>
      <c r="L47" s="15"/>
      <c r="M47" s="15"/>
      <c r="N47" s="15"/>
      <c r="O47" s="39"/>
      <c r="P47" s="39"/>
      <c r="Q47" s="39"/>
      <c r="R47" s="39"/>
      <c r="S47" s="39"/>
      <c r="T47" s="39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87" t="s">
        <v>553</v>
      </c>
      <c r="B48" s="88"/>
      <c r="C48" s="88"/>
      <c r="D48" s="32">
        <f ca="1">'TUSD BE'!$AM$53+'TUSD BE'!$AM$57+'TE BE'!$AB$43</f>
        <v>26003003.293451462</v>
      </c>
      <c r="E48" s="32">
        <f ca="1">'TUSD BF'!$AM$53+'TE BF'!$AB$43</f>
        <v>-3429758.0224861912</v>
      </c>
      <c r="F48" s="32">
        <f ca="1">'TUSD CVA'!$AM$53+'TE CVA'!$AB$43</f>
        <v>0</v>
      </c>
      <c r="G48" s="45">
        <f ca="1">SUM(D48:F48)</f>
        <v>22573245.270965271</v>
      </c>
      <c r="L48" s="16"/>
      <c r="M48" s="13"/>
      <c r="O48" s="39"/>
      <c r="P48" s="39"/>
      <c r="Q48" s="39"/>
      <c r="R48" s="39"/>
      <c r="S48" s="39"/>
      <c r="T48" s="39"/>
    </row>
    <row r="49" spans="1:20" ht="12" customHeight="1" x14ac:dyDescent="0.3">
      <c r="A49" s="87" t="s">
        <v>554</v>
      </c>
      <c r="B49" s="88"/>
      <c r="C49" s="88"/>
      <c r="D49" s="33" t="str">
        <f ca="1">IF(ABS(D48-D47)&gt;1,"ERRO","OK")</f>
        <v>OK</v>
      </c>
      <c r="E49" s="33" t="str">
        <f ca="1">IF(ABS(E48-E47)&gt;1,"ERRO","OK")</f>
        <v>OK</v>
      </c>
      <c r="F49" s="33" t="str">
        <f ca="1">IF(ABS(F48-F47)&gt;1,"ERRO","OK")</f>
        <v>OK</v>
      </c>
      <c r="L49" s="16"/>
      <c r="M49" s="13"/>
      <c r="O49" s="39"/>
      <c r="P49" s="39"/>
      <c r="Q49" s="39"/>
      <c r="R49" s="39"/>
      <c r="S49" s="39"/>
      <c r="T49" s="39"/>
    </row>
    <row r="50" spans="1:20" ht="12" customHeight="1" x14ac:dyDescent="0.3">
      <c r="L50" s="16"/>
      <c r="M50" s="13"/>
      <c r="O50" s="39"/>
      <c r="P50" s="39"/>
      <c r="Q50" s="39"/>
      <c r="R50" s="39"/>
      <c r="S50" s="39"/>
      <c r="T50" s="39"/>
    </row>
    <row r="51" spans="1:20" ht="12" customHeight="1" x14ac:dyDescent="0.3">
      <c r="D51" s="14">
        <v>26003003.293451466</v>
      </c>
      <c r="E51" s="14">
        <v>-3429758.0224861898</v>
      </c>
      <c r="L51" s="20" t="s">
        <v>507</v>
      </c>
      <c r="M51" s="21">
        <v>0</v>
      </c>
      <c r="O51" s="39"/>
      <c r="P51" s="39"/>
      <c r="Q51" s="39"/>
      <c r="R51" s="39"/>
      <c r="S51" s="39"/>
      <c r="T51" s="39"/>
    </row>
    <row r="52" spans="1:20" ht="12" customHeight="1" x14ac:dyDescent="0.3">
      <c r="D52" s="65">
        <f ca="1">D48-D51</f>
        <v>0</v>
      </c>
      <c r="E52" s="65">
        <f ca="1">E48-E51</f>
        <v>0</v>
      </c>
      <c r="O52" s="39"/>
      <c r="P52" s="39"/>
      <c r="Q52" s="39"/>
      <c r="R52" s="39"/>
      <c r="S52" s="39"/>
      <c r="T52" s="39"/>
    </row>
    <row r="53" spans="1:20" ht="12" customHeight="1" x14ac:dyDescent="0.3">
      <c r="O53" s="39"/>
      <c r="P53" s="39"/>
      <c r="Q53" s="39"/>
      <c r="R53" s="39"/>
      <c r="S53" s="39"/>
      <c r="T53" s="39"/>
    </row>
    <row r="54" spans="1:20" ht="12" customHeight="1" x14ac:dyDescent="0.3">
      <c r="O54" s="39"/>
      <c r="P54" s="39"/>
      <c r="Q54" s="39"/>
      <c r="R54" s="39"/>
      <c r="S54" s="39"/>
      <c r="T54" s="39"/>
    </row>
    <row r="55" spans="1:20" ht="12" customHeight="1" x14ac:dyDescent="0.3">
      <c r="O55" s="39"/>
      <c r="P55" s="39"/>
      <c r="Q55" s="39"/>
      <c r="R55" s="39"/>
      <c r="S55" s="39"/>
      <c r="T55" s="39"/>
    </row>
    <row r="56" spans="1:20" ht="12" customHeight="1" x14ac:dyDescent="0.3">
      <c r="O56" s="39"/>
      <c r="P56" s="39"/>
      <c r="Q56" s="39"/>
      <c r="R56" s="39"/>
      <c r="S56" s="39"/>
      <c r="T56" s="39"/>
    </row>
    <row r="57" spans="1:20" ht="12" customHeight="1" x14ac:dyDescent="0.3">
      <c r="O57" s="39"/>
      <c r="P57" s="39"/>
      <c r="Q57" s="39"/>
      <c r="R57" s="39"/>
      <c r="S57" s="39"/>
      <c r="T57" s="39"/>
    </row>
    <row r="58" spans="1:20" ht="12" customHeight="1" x14ac:dyDescent="0.3">
      <c r="O58" s="39"/>
      <c r="P58" s="39"/>
      <c r="Q58" s="39"/>
      <c r="R58" s="39"/>
      <c r="S58" s="39"/>
      <c r="T58" s="39"/>
    </row>
    <row r="59" spans="1:20" ht="12" customHeight="1" x14ac:dyDescent="0.3">
      <c r="O59" s="39"/>
      <c r="P59" s="39"/>
      <c r="Q59" s="39"/>
      <c r="R59" s="39"/>
      <c r="S59" s="39"/>
      <c r="T59" s="39"/>
    </row>
    <row r="60" spans="1:20" ht="12" customHeight="1" x14ac:dyDescent="0.3">
      <c r="O60" s="39"/>
      <c r="P60" s="39"/>
      <c r="Q60" s="39"/>
      <c r="R60" s="39"/>
      <c r="S60" s="39"/>
      <c r="T60" s="39"/>
    </row>
    <row r="61" spans="1:20" ht="12" customHeight="1" x14ac:dyDescent="0.3">
      <c r="O61" s="39"/>
      <c r="P61" s="39"/>
      <c r="Q61" s="39"/>
      <c r="R61" s="39"/>
      <c r="S61" s="39"/>
      <c r="T61" s="39"/>
    </row>
    <row r="62" spans="1:20" ht="12" customHeight="1" x14ac:dyDescent="0.3">
      <c r="O62" s="39"/>
      <c r="P62" s="39"/>
      <c r="Q62" s="39"/>
      <c r="R62" s="39"/>
      <c r="S62" s="39"/>
      <c r="T62" s="39"/>
    </row>
    <row r="63" spans="1:20" ht="12" customHeight="1" x14ac:dyDescent="0.3">
      <c r="O63" s="39"/>
      <c r="P63" s="39"/>
      <c r="Q63" s="39"/>
      <c r="R63" s="39"/>
      <c r="S63" s="39"/>
      <c r="T63" s="39"/>
    </row>
    <row r="64" spans="1:20" ht="12" customHeight="1" x14ac:dyDescent="0.3">
      <c r="O64" s="39"/>
      <c r="P64" s="39"/>
      <c r="Q64" s="39"/>
      <c r="R64" s="39"/>
      <c r="S64" s="39"/>
      <c r="T64" s="39"/>
    </row>
    <row r="65" spans="15:20" ht="12" customHeight="1" x14ac:dyDescent="0.3">
      <c r="O65" s="39"/>
      <c r="P65" s="39"/>
      <c r="Q65" s="39"/>
      <c r="R65" s="39"/>
      <c r="S65" s="39"/>
      <c r="T65" s="39"/>
    </row>
    <row r="66" spans="15:20" ht="12" customHeight="1" x14ac:dyDescent="0.3">
      <c r="O66" s="39"/>
      <c r="P66" s="39"/>
      <c r="Q66" s="39"/>
      <c r="R66" s="39"/>
      <c r="S66" s="39"/>
      <c r="T66" s="39"/>
    </row>
    <row r="67" spans="15:20" ht="12" customHeight="1" x14ac:dyDescent="0.3">
      <c r="O67" s="39"/>
      <c r="P67" s="39"/>
      <c r="Q67" s="39"/>
      <c r="R67" s="39"/>
      <c r="S67" s="39"/>
      <c r="T67" s="39"/>
    </row>
    <row r="68" spans="15:20" ht="12" customHeight="1" x14ac:dyDescent="0.3">
      <c r="O68" s="39"/>
      <c r="P68" s="39"/>
      <c r="Q68" s="39"/>
      <c r="R68" s="39"/>
      <c r="S68" s="39"/>
      <c r="T68" s="39"/>
    </row>
    <row r="69" spans="15:20" ht="12" customHeight="1" x14ac:dyDescent="0.3">
      <c r="O69" s="39"/>
      <c r="P69" s="39"/>
      <c r="Q69" s="39"/>
      <c r="R69" s="39"/>
      <c r="S69" s="39"/>
      <c r="T69" s="39"/>
    </row>
    <row r="70" spans="15:20" ht="12" customHeight="1" x14ac:dyDescent="0.3">
      <c r="O70" s="39"/>
      <c r="P70" s="39"/>
      <c r="Q70" s="39"/>
      <c r="R70" s="39"/>
      <c r="S70" s="39"/>
      <c r="T70" s="39"/>
    </row>
    <row r="71" spans="15:20" ht="12" customHeight="1" x14ac:dyDescent="0.3">
      <c r="O71" s="39"/>
      <c r="P71" s="39"/>
      <c r="Q71" s="39"/>
      <c r="R71" s="39"/>
      <c r="S71" s="39"/>
      <c r="T71" s="39"/>
    </row>
    <row r="72" spans="15:20" ht="12" customHeight="1" x14ac:dyDescent="0.3">
      <c r="O72" s="39"/>
      <c r="P72" s="39"/>
      <c r="Q72" s="39"/>
      <c r="R72" s="39"/>
      <c r="S72" s="39"/>
      <c r="T72" s="39"/>
    </row>
    <row r="73" spans="15:20" ht="12" customHeight="1" x14ac:dyDescent="0.3">
      <c r="O73" s="39"/>
      <c r="P73" s="39"/>
      <c r="Q73" s="39"/>
      <c r="R73" s="39"/>
      <c r="S73" s="39"/>
      <c r="T73" s="39"/>
    </row>
    <row r="74" spans="15:20" ht="12" customHeight="1" x14ac:dyDescent="0.3">
      <c r="O74" s="39"/>
      <c r="P74" s="39"/>
      <c r="Q74" s="39"/>
      <c r="R74" s="39"/>
      <c r="S74" s="39"/>
      <c r="T74" s="39"/>
    </row>
    <row r="75" spans="15:20" ht="12" customHeight="1" x14ac:dyDescent="0.3">
      <c r="O75" s="39"/>
      <c r="P75" s="39"/>
      <c r="Q75" s="39"/>
      <c r="R75" s="39"/>
      <c r="S75" s="39"/>
      <c r="T75" s="39"/>
    </row>
    <row r="76" spans="15:20" ht="12" customHeight="1" x14ac:dyDescent="0.3">
      <c r="O76" s="39"/>
      <c r="P76" s="39"/>
      <c r="Q76" s="39"/>
      <c r="R76" s="39"/>
      <c r="S76" s="39"/>
      <c r="T76" s="39"/>
    </row>
    <row r="77" spans="15:20" ht="12" customHeight="1" x14ac:dyDescent="0.3">
      <c r="O77" s="39"/>
      <c r="P77" s="39"/>
      <c r="Q77" s="39"/>
      <c r="R77" s="39"/>
      <c r="S77" s="39"/>
      <c r="T77" s="39"/>
    </row>
    <row r="78" spans="15:20" ht="12" customHeight="1" x14ac:dyDescent="0.3">
      <c r="O78" s="39"/>
      <c r="P78" s="39"/>
      <c r="Q78" s="39"/>
      <c r="R78" s="39"/>
      <c r="S78" s="39"/>
      <c r="T78" s="39"/>
    </row>
    <row r="79" spans="15:20" ht="12" customHeight="1" x14ac:dyDescent="0.3">
      <c r="O79" s="39"/>
      <c r="P79" s="39"/>
      <c r="Q79" s="39"/>
      <c r="R79" s="39"/>
      <c r="S79" s="39"/>
      <c r="T79" s="39"/>
    </row>
    <row r="80" spans="15:20" ht="12" customHeight="1" x14ac:dyDescent="0.3">
      <c r="O80" s="39"/>
      <c r="P80" s="39"/>
      <c r="Q80" s="39"/>
      <c r="R80" s="39"/>
      <c r="S80" s="39"/>
      <c r="T80" s="39"/>
    </row>
    <row r="81" spans="15:20" ht="12" customHeight="1" x14ac:dyDescent="0.3">
      <c r="O81" s="39"/>
      <c r="P81" s="39"/>
      <c r="Q81" s="39"/>
      <c r="R81" s="39"/>
      <c r="S81" s="39"/>
      <c r="T81" s="39"/>
    </row>
    <row r="82" spans="15:20" ht="12" customHeight="1" x14ac:dyDescent="0.3">
      <c r="O82" s="39"/>
      <c r="P82" s="39"/>
      <c r="Q82" s="39"/>
      <c r="R82" s="39"/>
      <c r="S82" s="39"/>
      <c r="T82" s="39"/>
    </row>
    <row r="83" spans="15:20" ht="12" customHeight="1" x14ac:dyDescent="0.3">
      <c r="O83" s="39"/>
      <c r="P83" s="39"/>
      <c r="Q83" s="39"/>
      <c r="R83" s="39"/>
      <c r="S83" s="39"/>
      <c r="T83" s="39"/>
    </row>
    <row r="84" spans="15:20" ht="12" customHeight="1" x14ac:dyDescent="0.3">
      <c r="O84" s="39"/>
      <c r="P84" s="39"/>
      <c r="Q84" s="39"/>
      <c r="R84" s="39"/>
      <c r="S84" s="39"/>
      <c r="T84" s="39"/>
    </row>
    <row r="85" spans="15:20" ht="12" customHeight="1" x14ac:dyDescent="0.3">
      <c r="O85" s="39"/>
      <c r="P85" s="39"/>
      <c r="Q85" s="39"/>
      <c r="R85" s="39"/>
      <c r="S85" s="39"/>
      <c r="T85" s="39"/>
    </row>
    <row r="86" spans="15:20" ht="12" customHeight="1" x14ac:dyDescent="0.3">
      <c r="O86" s="39"/>
      <c r="P86" s="39"/>
      <c r="Q86" s="39"/>
      <c r="R86" s="39"/>
      <c r="S86" s="39"/>
      <c r="T86" s="39"/>
    </row>
    <row r="87" spans="15:20" ht="12" customHeight="1" x14ac:dyDescent="0.3">
      <c r="O87" s="39"/>
      <c r="P87" s="39"/>
      <c r="Q87" s="39"/>
      <c r="R87" s="39"/>
      <c r="S87" s="39"/>
      <c r="T87" s="39"/>
    </row>
    <row r="88" spans="15:20" ht="12" customHeight="1" x14ac:dyDescent="0.3">
      <c r="O88" s="39"/>
      <c r="P88" s="39"/>
      <c r="Q88" s="39"/>
      <c r="R88" s="39"/>
      <c r="S88" s="39"/>
      <c r="T88" s="39"/>
    </row>
    <row r="89" spans="15:20" ht="12" customHeight="1" x14ac:dyDescent="0.3">
      <c r="O89" s="39"/>
      <c r="P89" s="39"/>
      <c r="Q89" s="39"/>
      <c r="R89" s="39"/>
      <c r="S89" s="39"/>
      <c r="T89" s="39"/>
    </row>
    <row r="90" spans="15:20" ht="12" customHeight="1" x14ac:dyDescent="0.3">
      <c r="O90" s="39"/>
      <c r="P90" s="39"/>
      <c r="Q90" s="39"/>
      <c r="R90" s="39"/>
      <c r="S90" s="39"/>
      <c r="T90" s="39"/>
    </row>
    <row r="91" spans="15:20" ht="12" customHeight="1" x14ac:dyDescent="0.3">
      <c r="O91" s="39"/>
      <c r="P91" s="39"/>
      <c r="Q91" s="39"/>
      <c r="R91" s="39"/>
      <c r="S91" s="39"/>
      <c r="T91" s="39"/>
    </row>
    <row r="92" spans="15:20" ht="12" customHeight="1" x14ac:dyDescent="0.3">
      <c r="O92" s="39"/>
      <c r="P92" s="39"/>
      <c r="Q92" s="39"/>
      <c r="R92" s="39"/>
      <c r="S92" s="39"/>
      <c r="T92" s="39"/>
    </row>
    <row r="93" spans="15:20" ht="12" customHeight="1" x14ac:dyDescent="0.3">
      <c r="O93" s="39"/>
      <c r="P93" s="39"/>
      <c r="Q93" s="39"/>
      <c r="R93" s="39"/>
      <c r="S93" s="39"/>
      <c r="T93" s="39"/>
    </row>
    <row r="94" spans="15:20" ht="12" customHeight="1" x14ac:dyDescent="0.3">
      <c r="O94" s="39"/>
      <c r="P94" s="39"/>
      <c r="Q94" s="39"/>
      <c r="R94" s="39"/>
      <c r="S94" s="39"/>
      <c r="T94" s="39"/>
    </row>
    <row r="95" spans="15:20" ht="12" customHeight="1" x14ac:dyDescent="0.3">
      <c r="O95" s="39"/>
      <c r="P95" s="39"/>
      <c r="Q95" s="39"/>
      <c r="R95" s="39"/>
      <c r="S95" s="39"/>
      <c r="T95" s="39"/>
    </row>
    <row r="96" spans="15:20" ht="12" customHeight="1" x14ac:dyDescent="0.3">
      <c r="O96" s="39"/>
      <c r="P96" s="39"/>
      <c r="Q96" s="39"/>
      <c r="R96" s="39"/>
      <c r="S96" s="39"/>
      <c r="T96" s="39"/>
    </row>
    <row r="97" spans="15:30" ht="12" customHeight="1" x14ac:dyDescent="0.3">
      <c r="O97" s="39"/>
      <c r="P97" s="39"/>
      <c r="Q97" s="39"/>
      <c r="R97" s="39"/>
      <c r="S97" s="39"/>
      <c r="T97" s="39"/>
    </row>
    <row r="98" spans="15:30" ht="12" customHeight="1" x14ac:dyDescent="0.3">
      <c r="O98" s="39"/>
      <c r="P98" s="39"/>
      <c r="Q98" s="39"/>
      <c r="R98" s="39"/>
      <c r="S98" s="39"/>
      <c r="T98" s="39"/>
    </row>
    <row r="99" spans="15:30" ht="12" customHeight="1" x14ac:dyDescent="0.3">
      <c r="O99" s="38"/>
      <c r="P99" s="38"/>
      <c r="Q99" s="38"/>
      <c r="R99" s="38"/>
      <c r="S99" s="38"/>
      <c r="T99" s="38"/>
    </row>
    <row r="100" spans="15:30" ht="12" customHeight="1" x14ac:dyDescent="0.3"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5:30" ht="12" customHeight="1" x14ac:dyDescent="0.3">
      <c r="O101" s="39" t="s">
        <v>578</v>
      </c>
      <c r="P101" s="39" t="s">
        <v>583</v>
      </c>
      <c r="Q101" s="39" t="s">
        <v>584</v>
      </c>
      <c r="R101" s="39" t="s">
        <v>585</v>
      </c>
      <c r="S101" s="39" t="s">
        <v>586</v>
      </c>
      <c r="T101" s="39" t="s">
        <v>587</v>
      </c>
      <c r="U101" s="39" t="s">
        <v>588</v>
      </c>
      <c r="V101" s="39" t="s">
        <v>589</v>
      </c>
      <c r="W101" s="39"/>
      <c r="X101" s="39"/>
      <c r="Y101" s="39"/>
      <c r="Z101" s="39"/>
      <c r="AA101" s="39"/>
      <c r="AB101" s="39"/>
      <c r="AC101" s="39"/>
      <c r="AD101" s="39"/>
    </row>
    <row r="102" spans="15:30" ht="12" customHeight="1" x14ac:dyDescent="0.3">
      <c r="O102" s="39" t="s">
        <v>34</v>
      </c>
      <c r="P102" s="39" t="s">
        <v>75</v>
      </c>
      <c r="Q102" s="39" t="s">
        <v>35</v>
      </c>
      <c r="R102" s="39" t="s">
        <v>43</v>
      </c>
      <c r="S102" s="39" t="s">
        <v>25</v>
      </c>
      <c r="T102" s="39" t="s">
        <v>590</v>
      </c>
      <c r="U102" s="39">
        <v>4</v>
      </c>
      <c r="V102" s="39">
        <v>0.1</v>
      </c>
      <c r="W102" s="39">
        <v>0.08</v>
      </c>
      <c r="X102" s="39">
        <v>0.06</v>
      </c>
      <c r="Y102" s="39">
        <v>0.04</v>
      </c>
      <c r="Z102" s="39">
        <v>0.02</v>
      </c>
      <c r="AA102" s="39">
        <v>0</v>
      </c>
      <c r="AB102" s="39"/>
      <c r="AC102" s="39"/>
      <c r="AD102" s="39"/>
    </row>
    <row r="103" spans="15:30" ht="12" customHeight="1" x14ac:dyDescent="0.3">
      <c r="O103" s="39" t="s">
        <v>34</v>
      </c>
      <c r="P103" s="39" t="s">
        <v>75</v>
      </c>
      <c r="Q103" s="39" t="s">
        <v>35</v>
      </c>
      <c r="R103" s="39" t="s">
        <v>48</v>
      </c>
      <c r="S103" s="39" t="s">
        <v>49</v>
      </c>
      <c r="T103" s="39" t="s">
        <v>591</v>
      </c>
      <c r="U103" s="39">
        <v>4</v>
      </c>
      <c r="V103" s="39">
        <v>0.15</v>
      </c>
      <c r="W103" s="39">
        <v>0.12</v>
      </c>
      <c r="X103" s="39">
        <v>0.09</v>
      </c>
      <c r="Y103" s="39">
        <v>0.06</v>
      </c>
      <c r="Z103" s="39">
        <v>0.03</v>
      </c>
      <c r="AA103" s="39">
        <v>0</v>
      </c>
      <c r="AB103" s="39"/>
      <c r="AC103" s="39"/>
      <c r="AD103" s="39"/>
    </row>
    <row r="104" spans="15:30" ht="12" customHeight="1" x14ac:dyDescent="0.3">
      <c r="O104" s="39" t="s">
        <v>34</v>
      </c>
      <c r="P104" s="39" t="s">
        <v>592</v>
      </c>
      <c r="Q104" s="39" t="s">
        <v>42</v>
      </c>
      <c r="R104" s="39" t="s">
        <v>43</v>
      </c>
      <c r="S104" s="39" t="s">
        <v>89</v>
      </c>
      <c r="T104" s="39" t="s">
        <v>591</v>
      </c>
      <c r="U104" s="39">
        <v>4</v>
      </c>
      <c r="V104" s="39">
        <v>0.3</v>
      </c>
      <c r="W104" s="39">
        <v>0.24</v>
      </c>
      <c r="X104" s="39">
        <v>0.18</v>
      </c>
      <c r="Y104" s="39">
        <v>0.12</v>
      </c>
      <c r="Z104" s="39">
        <v>0.06</v>
      </c>
      <c r="AA104" s="39">
        <v>0</v>
      </c>
      <c r="AB104" s="39"/>
      <c r="AC104" s="39"/>
      <c r="AD104" s="39"/>
    </row>
    <row r="105" spans="15:30" ht="12" customHeight="1" x14ac:dyDescent="0.3">
      <c r="O105" s="39" t="s">
        <v>34</v>
      </c>
      <c r="P105" s="39" t="s">
        <v>40</v>
      </c>
      <c r="Q105" s="39" t="s">
        <v>42</v>
      </c>
      <c r="R105" s="39" t="s">
        <v>43</v>
      </c>
      <c r="S105" s="39" t="s">
        <v>25</v>
      </c>
      <c r="T105" s="39" t="s">
        <v>43</v>
      </c>
      <c r="U105" s="39">
        <v>4</v>
      </c>
      <c r="V105" s="39">
        <v>0.3</v>
      </c>
      <c r="W105" s="39">
        <v>0.24</v>
      </c>
      <c r="X105" s="39">
        <v>0.18</v>
      </c>
      <c r="Y105" s="39">
        <v>0.12</v>
      </c>
      <c r="Z105" s="39">
        <v>0.06</v>
      </c>
      <c r="AA105" s="39">
        <v>0</v>
      </c>
      <c r="AB105" s="39"/>
      <c r="AC105" s="39"/>
      <c r="AD105" s="39"/>
    </row>
    <row r="106" spans="15:30" ht="12" customHeight="1" x14ac:dyDescent="0.3">
      <c r="O106" s="39" t="s">
        <v>34</v>
      </c>
      <c r="P106" s="39" t="s">
        <v>592</v>
      </c>
      <c r="Q106" s="39" t="s">
        <v>42</v>
      </c>
      <c r="R106" s="39" t="s">
        <v>43</v>
      </c>
      <c r="S106" s="39" t="s">
        <v>90</v>
      </c>
      <c r="T106" s="39" t="s">
        <v>591</v>
      </c>
      <c r="U106" s="39">
        <v>4</v>
      </c>
      <c r="V106" s="39">
        <v>0.4</v>
      </c>
      <c r="W106" s="39">
        <v>0.32</v>
      </c>
      <c r="X106" s="39">
        <v>0.24</v>
      </c>
      <c r="Y106" s="39">
        <v>0.16</v>
      </c>
      <c r="Z106" s="39">
        <v>0.08</v>
      </c>
      <c r="AA106" s="39">
        <v>0</v>
      </c>
      <c r="AB106" s="39"/>
      <c r="AC106" s="39"/>
      <c r="AD106" s="39"/>
    </row>
    <row r="107" spans="15:30" ht="12" customHeight="1" x14ac:dyDescent="0.3">
      <c r="O107" s="39" t="s">
        <v>34</v>
      </c>
      <c r="P107" s="39" t="s">
        <v>40</v>
      </c>
      <c r="Q107" s="39" t="s">
        <v>33</v>
      </c>
      <c r="R107" s="39" t="s">
        <v>48</v>
      </c>
      <c r="S107" s="39" t="s">
        <v>49</v>
      </c>
      <c r="T107" s="39" t="s">
        <v>591</v>
      </c>
      <c r="U107" s="39">
        <v>4</v>
      </c>
      <c r="V107" s="39">
        <v>0.15</v>
      </c>
      <c r="W107" s="39">
        <v>0.12</v>
      </c>
      <c r="X107" s="39">
        <v>0.09</v>
      </c>
      <c r="Y107" s="39">
        <v>0.06</v>
      </c>
      <c r="Z107" s="39">
        <v>0.03</v>
      </c>
      <c r="AA107" s="39">
        <v>0</v>
      </c>
      <c r="AB107" s="39"/>
      <c r="AC107" s="39"/>
      <c r="AD107" s="39"/>
    </row>
    <row r="108" spans="15:30" ht="12" customHeight="1" x14ac:dyDescent="0.3">
      <c r="O108" s="39" t="s">
        <v>34</v>
      </c>
      <c r="P108" s="39" t="s">
        <v>23</v>
      </c>
      <c r="Q108" s="39" t="s">
        <v>35</v>
      </c>
      <c r="R108" s="39" t="s">
        <v>43</v>
      </c>
      <c r="S108" s="39" t="s">
        <v>25</v>
      </c>
      <c r="T108" s="39" t="s">
        <v>590</v>
      </c>
      <c r="U108" s="39">
        <v>4</v>
      </c>
      <c r="V108" s="39">
        <v>0.1</v>
      </c>
      <c r="W108" s="39">
        <v>0.08</v>
      </c>
      <c r="X108" s="39">
        <v>0.06</v>
      </c>
      <c r="Y108" s="39">
        <v>0.04</v>
      </c>
      <c r="Z108" s="39">
        <v>0.02</v>
      </c>
      <c r="AA108" s="39">
        <v>0</v>
      </c>
      <c r="AB108" s="39"/>
      <c r="AC108" s="39"/>
      <c r="AD108" s="39"/>
    </row>
    <row r="109" spans="15:30" ht="12" customHeight="1" x14ac:dyDescent="0.3">
      <c r="O109" s="39" t="s">
        <v>34</v>
      </c>
      <c r="P109" s="39" t="s">
        <v>593</v>
      </c>
      <c r="Q109" s="39" t="s">
        <v>35</v>
      </c>
      <c r="R109" s="39" t="s">
        <v>48</v>
      </c>
      <c r="S109" s="39" t="s">
        <v>49</v>
      </c>
      <c r="T109" s="39" t="s">
        <v>591</v>
      </c>
      <c r="U109" s="39">
        <v>4</v>
      </c>
      <c r="V109" s="39">
        <v>0.15</v>
      </c>
      <c r="W109" s="39">
        <v>0.12</v>
      </c>
      <c r="X109" s="39">
        <v>0.09</v>
      </c>
      <c r="Y109" s="39">
        <v>0.06</v>
      </c>
      <c r="Z109" s="39">
        <v>0.03</v>
      </c>
      <c r="AA109" s="39">
        <v>0</v>
      </c>
      <c r="AB109" s="39"/>
      <c r="AC109" s="39"/>
      <c r="AD109" s="39"/>
    </row>
    <row r="110" spans="15:30" ht="12" customHeight="1" x14ac:dyDescent="0.3">
      <c r="O110" s="39" t="s">
        <v>34</v>
      </c>
      <c r="P110" s="39" t="s">
        <v>23</v>
      </c>
      <c r="Q110" s="39" t="s">
        <v>42</v>
      </c>
      <c r="R110" s="39" t="s">
        <v>43</v>
      </c>
      <c r="S110" s="39" t="s">
        <v>89</v>
      </c>
      <c r="T110" s="39" t="s">
        <v>591</v>
      </c>
      <c r="U110" s="39">
        <v>4</v>
      </c>
      <c r="V110" s="39">
        <v>0.3</v>
      </c>
      <c r="W110" s="39">
        <v>0.24</v>
      </c>
      <c r="X110" s="39">
        <v>0.18</v>
      </c>
      <c r="Y110" s="39">
        <v>0.12</v>
      </c>
      <c r="Z110" s="39">
        <v>0.06</v>
      </c>
      <c r="AA110" s="39">
        <v>0</v>
      </c>
      <c r="AB110" s="39"/>
      <c r="AC110" s="39"/>
      <c r="AD110" s="39"/>
    </row>
    <row r="111" spans="15:30" ht="12" customHeight="1" x14ac:dyDescent="0.3">
      <c r="O111" s="39" t="s">
        <v>34</v>
      </c>
      <c r="P111" s="39" t="s">
        <v>23</v>
      </c>
      <c r="Q111" s="39" t="s">
        <v>42</v>
      </c>
      <c r="R111" s="39" t="s">
        <v>43</v>
      </c>
      <c r="S111" s="39" t="s">
        <v>25</v>
      </c>
      <c r="T111" s="39" t="s">
        <v>43</v>
      </c>
      <c r="U111" s="39">
        <v>4</v>
      </c>
      <c r="V111" s="39">
        <v>0.3</v>
      </c>
      <c r="W111" s="39">
        <v>0.24</v>
      </c>
      <c r="X111" s="39">
        <v>0.18</v>
      </c>
      <c r="Y111" s="39">
        <v>0.12</v>
      </c>
      <c r="Z111" s="39">
        <v>0.06</v>
      </c>
      <c r="AA111" s="39">
        <v>0</v>
      </c>
      <c r="AB111" s="39"/>
      <c r="AC111" s="39"/>
      <c r="AD111" s="39"/>
    </row>
    <row r="112" spans="15:30" ht="12" customHeight="1" x14ac:dyDescent="0.3">
      <c r="O112" s="39" t="s">
        <v>34</v>
      </c>
      <c r="P112" s="39" t="s">
        <v>23</v>
      </c>
      <c r="Q112" s="39" t="s">
        <v>42</v>
      </c>
      <c r="R112" s="39" t="s">
        <v>43</v>
      </c>
      <c r="S112" s="39" t="s">
        <v>90</v>
      </c>
      <c r="T112" s="39" t="s">
        <v>591</v>
      </c>
      <c r="U112" s="39">
        <v>4</v>
      </c>
      <c r="V112" s="39">
        <v>0.4</v>
      </c>
      <c r="W112" s="39">
        <v>0.32</v>
      </c>
      <c r="X112" s="39">
        <v>0.24</v>
      </c>
      <c r="Y112" s="39">
        <v>0.16</v>
      </c>
      <c r="Z112" s="39">
        <v>0.08</v>
      </c>
      <c r="AA112" s="39">
        <v>0</v>
      </c>
      <c r="AB112" s="39"/>
      <c r="AC112" s="39"/>
      <c r="AD112" s="39"/>
    </row>
    <row r="113" spans="15:30" ht="12" customHeight="1" x14ac:dyDescent="0.3">
      <c r="O113" s="39" t="s">
        <v>34</v>
      </c>
      <c r="P113" s="39" t="s">
        <v>23</v>
      </c>
      <c r="Q113" s="39" t="s">
        <v>33</v>
      </c>
      <c r="R113" s="39" t="s">
        <v>48</v>
      </c>
      <c r="S113" s="39" t="s">
        <v>49</v>
      </c>
      <c r="T113" s="39" t="s">
        <v>591</v>
      </c>
      <c r="U113" s="39">
        <v>4</v>
      </c>
      <c r="V113" s="39">
        <v>0.15</v>
      </c>
      <c r="W113" s="39">
        <v>0.12</v>
      </c>
      <c r="X113" s="39">
        <v>0.09</v>
      </c>
      <c r="Y113" s="39">
        <v>0.06</v>
      </c>
      <c r="Z113" s="39">
        <v>0.03</v>
      </c>
      <c r="AA113" s="39">
        <v>0</v>
      </c>
      <c r="AB113" s="39"/>
      <c r="AC113" s="39"/>
      <c r="AD113" s="39"/>
    </row>
    <row r="114" spans="15:30" ht="12" customHeight="1" x14ac:dyDescent="0.3">
      <c r="O114" s="39" t="s">
        <v>34</v>
      </c>
      <c r="P114" s="39" t="s">
        <v>36</v>
      </c>
      <c r="Q114" s="39" t="s">
        <v>35</v>
      </c>
      <c r="R114" s="39" t="s">
        <v>43</v>
      </c>
      <c r="S114" s="39" t="s">
        <v>25</v>
      </c>
      <c r="T114" s="39" t="s">
        <v>590</v>
      </c>
      <c r="U114" s="39">
        <v>4</v>
      </c>
      <c r="V114" s="39">
        <v>0.1</v>
      </c>
      <c r="W114" s="39">
        <v>0.08</v>
      </c>
      <c r="X114" s="39">
        <v>0.06</v>
      </c>
      <c r="Y114" s="39">
        <v>0.04</v>
      </c>
      <c r="Z114" s="39">
        <v>0.02</v>
      </c>
      <c r="AA114" s="39">
        <v>0</v>
      </c>
      <c r="AB114" s="39"/>
      <c r="AC114" s="39"/>
      <c r="AD114" s="39"/>
    </row>
    <row r="115" spans="15:30" ht="12" customHeight="1" x14ac:dyDescent="0.3">
      <c r="O115" s="39" t="s">
        <v>34</v>
      </c>
      <c r="P115" s="39" t="s">
        <v>36</v>
      </c>
      <c r="Q115" s="39" t="s">
        <v>35</v>
      </c>
      <c r="R115" s="39" t="s">
        <v>48</v>
      </c>
      <c r="S115" s="39" t="s">
        <v>49</v>
      </c>
      <c r="T115" s="39" t="s">
        <v>591</v>
      </c>
      <c r="U115" s="39">
        <v>4</v>
      </c>
      <c r="V115" s="39">
        <v>0.15</v>
      </c>
      <c r="W115" s="39">
        <v>0.12</v>
      </c>
      <c r="X115" s="39">
        <v>0.09</v>
      </c>
      <c r="Y115" s="39">
        <v>0.06</v>
      </c>
      <c r="Z115" s="39">
        <v>0.03</v>
      </c>
      <c r="AA115" s="39">
        <v>0</v>
      </c>
      <c r="AB115" s="39"/>
      <c r="AC115" s="39"/>
      <c r="AD115" s="39"/>
    </row>
    <row r="116" spans="15:30" ht="12" customHeight="1" x14ac:dyDescent="0.3"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</row>
    <row r="117" spans="15:30" ht="12" customHeight="1" x14ac:dyDescent="0.3"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</row>
    <row r="118" spans="15:30" ht="12" customHeight="1" x14ac:dyDescent="0.3"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</row>
    <row r="119" spans="15:30" ht="12" customHeight="1" x14ac:dyDescent="0.3"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5:30" ht="12" customHeight="1" x14ac:dyDescent="0.3"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5:30" ht="12" customHeight="1" x14ac:dyDescent="0.3"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5:30" ht="12" customHeight="1" x14ac:dyDescent="0.3"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5:30" ht="12" customHeight="1" x14ac:dyDescent="0.3"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5:30" ht="12" customHeight="1" x14ac:dyDescent="0.3"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5:30" ht="12" customHeight="1" x14ac:dyDescent="0.3"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5:30" ht="12" customHeight="1" x14ac:dyDescent="0.3"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5:30" ht="12" customHeight="1" x14ac:dyDescent="0.3"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5:30" ht="12" customHeight="1" x14ac:dyDescent="0.3"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5:30" ht="12" customHeight="1" x14ac:dyDescent="0.3"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5:30" ht="12" customHeight="1" x14ac:dyDescent="0.3"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5:30" ht="12" customHeight="1" x14ac:dyDescent="0.3"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5:30" ht="12" customHeight="1" x14ac:dyDescent="0.3"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5:30" ht="12" customHeight="1" x14ac:dyDescent="0.3"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5:30" ht="12" customHeight="1" x14ac:dyDescent="0.3"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5:30" ht="12" customHeight="1" x14ac:dyDescent="0.3"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5:30" ht="12" customHeight="1" x14ac:dyDescent="0.3"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5:30" ht="12" customHeight="1" x14ac:dyDescent="0.3"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5:30" ht="12" customHeight="1" x14ac:dyDescent="0.3"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5:30" ht="12" customHeight="1" x14ac:dyDescent="0.3"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5:30" ht="12" customHeight="1" x14ac:dyDescent="0.3"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5:30" ht="12" customHeight="1" x14ac:dyDescent="0.3"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5:30" ht="12" customHeight="1" x14ac:dyDescent="0.3"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5:30" ht="12" customHeight="1" x14ac:dyDescent="0.3"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5:30" ht="12" customHeight="1" x14ac:dyDescent="0.3"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5:30" ht="12" customHeight="1" x14ac:dyDescent="0.3"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5:30" ht="12" customHeight="1" x14ac:dyDescent="0.3"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5:30" ht="12" customHeight="1" x14ac:dyDescent="0.3"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5:30" ht="12" customHeight="1" x14ac:dyDescent="0.3"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5:30" ht="12" customHeight="1" x14ac:dyDescent="0.3"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5:30" ht="12" customHeight="1" x14ac:dyDescent="0.3"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5:30" ht="12" customHeight="1" x14ac:dyDescent="0.3"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5:30" ht="12" customHeight="1" x14ac:dyDescent="0.3"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5:30" ht="12" customHeight="1" x14ac:dyDescent="0.3"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5:30" ht="12" customHeight="1" x14ac:dyDescent="0.3"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5:30" ht="12" customHeight="1" x14ac:dyDescent="0.3"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5:30" ht="12" customHeight="1" x14ac:dyDescent="0.3"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5:30" ht="12" customHeight="1" x14ac:dyDescent="0.3"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5:30" ht="12" customHeight="1" x14ac:dyDescent="0.3"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5:30" ht="12" customHeight="1" x14ac:dyDescent="0.3"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5:30" ht="12" customHeight="1" x14ac:dyDescent="0.3"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5:30" ht="12" customHeight="1" x14ac:dyDescent="0.3"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5:30" ht="12" customHeight="1" x14ac:dyDescent="0.3"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5:30" ht="12" customHeight="1" x14ac:dyDescent="0.3"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5:30" ht="12" customHeight="1" x14ac:dyDescent="0.3"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5:30" ht="12" customHeight="1" x14ac:dyDescent="0.3"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5:30" ht="12" customHeight="1" x14ac:dyDescent="0.3"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5:30" ht="12" customHeight="1" x14ac:dyDescent="0.3"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5:30" ht="12" customHeight="1" x14ac:dyDescent="0.3"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5:30" ht="12" customHeight="1" x14ac:dyDescent="0.3"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5:30" ht="12" customHeight="1" x14ac:dyDescent="0.3"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5:30" ht="12" customHeight="1" x14ac:dyDescent="0.3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5:30" ht="12" customHeight="1" x14ac:dyDescent="0.3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5:30" ht="12" customHeight="1" x14ac:dyDescent="0.3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5:30" ht="12" customHeight="1" x14ac:dyDescent="0.3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5:30" ht="12" customHeight="1" x14ac:dyDescent="0.3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5:30" ht="12" customHeight="1" x14ac:dyDescent="0.3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5:30" ht="12" customHeight="1" x14ac:dyDescent="0.3"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5:30" ht="12" customHeight="1" x14ac:dyDescent="0.3"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5:30" ht="12" customHeight="1" x14ac:dyDescent="0.3"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5:30" ht="12" customHeight="1" x14ac:dyDescent="0.3"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5:30" ht="12" customHeight="1" x14ac:dyDescent="0.3"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5:30" ht="12" customHeight="1" x14ac:dyDescent="0.3"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5:30" ht="12" customHeight="1" x14ac:dyDescent="0.3"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5:30" ht="12" customHeight="1" x14ac:dyDescent="0.3"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5:30" ht="12" customHeight="1" x14ac:dyDescent="0.3"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5:30" ht="12" customHeight="1" x14ac:dyDescent="0.3"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5:30" ht="12" customHeight="1" x14ac:dyDescent="0.3"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5:30" ht="12" customHeight="1" x14ac:dyDescent="0.3"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5:30" ht="12" customHeight="1" x14ac:dyDescent="0.3"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5:30" ht="12" customHeight="1" x14ac:dyDescent="0.3"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5:30" ht="12" customHeight="1" x14ac:dyDescent="0.3"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5:30" ht="12" customHeight="1" x14ac:dyDescent="0.3"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5:30" ht="12" customHeight="1" x14ac:dyDescent="0.3"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5:30" ht="12" customHeight="1" x14ac:dyDescent="0.3"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5:30" ht="12" customHeight="1" x14ac:dyDescent="0.3"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5:30" ht="12" customHeight="1" x14ac:dyDescent="0.3"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5:30" ht="12" customHeight="1" x14ac:dyDescent="0.3"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5:30" ht="12" customHeight="1" x14ac:dyDescent="0.3"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5:30" ht="12" customHeight="1" x14ac:dyDescent="0.3"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5:30" ht="12" customHeight="1" x14ac:dyDescent="0.3"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</sheetData>
  <mergeCells count="19">
    <mergeCell ref="B36:B37"/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E94-F333-48CC-A1C5-AD2EDD60B454}">
  <dimension ref="A1:AP51"/>
  <sheetViews>
    <sheetView showGridLines="0" topLeftCell="O1" workbookViewId="0">
      <selection activeCell="AN19" sqref="AN19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93" t="s">
        <v>62</v>
      </c>
      <c r="B1" s="93" t="s">
        <v>63</v>
      </c>
      <c r="C1" s="93" t="s">
        <v>64</v>
      </c>
      <c r="D1" s="93" t="s">
        <v>65</v>
      </c>
      <c r="E1" s="93" t="s">
        <v>66</v>
      </c>
      <c r="F1" s="93" t="s">
        <v>15</v>
      </c>
      <c r="G1" s="93" t="s">
        <v>68</v>
      </c>
      <c r="H1" s="93" t="s">
        <v>69</v>
      </c>
      <c r="I1" s="93" t="s">
        <v>524</v>
      </c>
      <c r="J1" s="85"/>
      <c r="L1" s="94" t="s">
        <v>525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P1" s="94" t="s">
        <v>526</v>
      </c>
    </row>
    <row r="2" spans="1:42" ht="11.25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85"/>
      <c r="L2" s="94" t="s">
        <v>423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P2" s="95"/>
    </row>
    <row r="3" spans="1:42" ht="11.25" customHeight="1" x14ac:dyDescent="0.3">
      <c r="A3" s="93"/>
      <c r="B3" s="93"/>
      <c r="C3" s="93"/>
      <c r="D3" s="93"/>
      <c r="E3" s="93"/>
      <c r="F3" s="93"/>
      <c r="G3" s="93"/>
      <c r="H3" s="93"/>
      <c r="I3" s="93"/>
      <c r="J3" s="85"/>
      <c r="L3" s="94" t="s">
        <v>424</v>
      </c>
      <c r="M3" s="94"/>
      <c r="N3" s="94"/>
      <c r="O3" s="94"/>
      <c r="P3" s="94"/>
      <c r="Q3" s="94"/>
      <c r="R3" s="94"/>
      <c r="S3" s="94"/>
      <c r="T3" s="94"/>
      <c r="U3" s="94" t="s">
        <v>433</v>
      </c>
      <c r="V3" s="94"/>
      <c r="W3" s="94"/>
      <c r="X3" s="94"/>
      <c r="Y3" s="94"/>
      <c r="Z3" s="94"/>
      <c r="AA3" s="94"/>
      <c r="AB3" s="94"/>
      <c r="AC3" s="94" t="s">
        <v>441</v>
      </c>
      <c r="AD3" s="94"/>
      <c r="AE3" s="94" t="s">
        <v>443</v>
      </c>
      <c r="AF3" s="94"/>
      <c r="AG3" s="94"/>
      <c r="AH3" s="94" t="s">
        <v>446</v>
      </c>
      <c r="AI3" s="94"/>
      <c r="AJ3" s="94"/>
      <c r="AK3" s="94"/>
      <c r="AL3" s="94"/>
      <c r="AM3" s="94" t="s">
        <v>432</v>
      </c>
      <c r="AP3" s="95"/>
    </row>
    <row r="4" spans="1:42" ht="11.25" customHeight="1" x14ac:dyDescent="0.3">
      <c r="A4" s="93"/>
      <c r="B4" s="93"/>
      <c r="C4" s="93"/>
      <c r="D4" s="93"/>
      <c r="E4" s="93"/>
      <c r="F4" s="93"/>
      <c r="G4" s="93"/>
      <c r="H4" s="93"/>
      <c r="I4" s="93"/>
      <c r="J4" s="85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6"/>
      <c r="AP4" s="95"/>
    </row>
    <row r="5" spans="1:42" ht="11.25" customHeight="1" x14ac:dyDescent="0.3">
      <c r="A5" s="92" t="s">
        <v>35</v>
      </c>
      <c r="B5" s="92" t="s">
        <v>75</v>
      </c>
      <c r="C5" s="92" t="s">
        <v>25</v>
      </c>
      <c r="D5" s="92" t="s">
        <v>25</v>
      </c>
      <c r="E5" s="92" t="s">
        <v>25</v>
      </c>
      <c r="F5" s="92" t="s">
        <v>25</v>
      </c>
      <c r="G5" s="24" t="s">
        <v>77</v>
      </c>
      <c r="H5" s="24" t="s">
        <v>76</v>
      </c>
      <c r="I5" s="24">
        <f>'MERCADO TUSD'!$U$2</f>
        <v>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27.3901</v>
      </c>
      <c r="Z5" s="13">
        <v>0</v>
      </c>
      <c r="AA5" s="13">
        <v>0</v>
      </c>
      <c r="AB5" s="13"/>
      <c r="AC5" s="13">
        <v>60.745399999999997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3">
      <c r="A6" s="92"/>
      <c r="B6" s="92"/>
      <c r="C6" s="92"/>
      <c r="D6" s="92"/>
      <c r="E6" s="92"/>
      <c r="F6" s="92"/>
      <c r="G6" s="24" t="s">
        <v>78</v>
      </c>
      <c r="H6" s="24" t="s">
        <v>76</v>
      </c>
      <c r="I6" s="24">
        <f>'MERCADO TUSD'!$U$3</f>
        <v>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11.0707</v>
      </c>
      <c r="Z6" s="13">
        <v>0</v>
      </c>
      <c r="AA6" s="13">
        <v>0</v>
      </c>
      <c r="AB6" s="13"/>
      <c r="AC6" s="13">
        <v>16.974299999999999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3">
      <c r="A7" s="92"/>
      <c r="B7" s="92"/>
      <c r="C7" s="92"/>
      <c r="D7" s="92"/>
      <c r="E7" s="92"/>
      <c r="F7" s="92"/>
      <c r="G7" s="24" t="s">
        <v>79</v>
      </c>
      <c r="H7" s="24" t="s">
        <v>72</v>
      </c>
      <c r="I7" s="24">
        <f>'MERCADO TUSD'!$U$4</f>
        <v>0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3">
      <c r="A8" s="92"/>
      <c r="B8" s="92"/>
      <c r="C8" s="92"/>
      <c r="D8" s="92"/>
      <c r="E8" s="23" t="s">
        <v>80</v>
      </c>
      <c r="F8" s="23" t="s">
        <v>25</v>
      </c>
      <c r="G8" s="24" t="s">
        <v>79</v>
      </c>
      <c r="H8" s="24" t="s">
        <v>72</v>
      </c>
      <c r="I8" s="24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3">
      <c r="A9" s="92"/>
      <c r="B9" s="23" t="s">
        <v>81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76</v>
      </c>
      <c r="I9" s="24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7.6791999999999998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24" t="s">
        <v>9</v>
      </c>
      <c r="H10" s="24" t="s">
        <v>76</v>
      </c>
      <c r="I10" s="24">
        <f>'MERCADO TUSD'!$U$7</f>
        <v>72477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11.0707</v>
      </c>
      <c r="Z10" s="13">
        <v>0</v>
      </c>
      <c r="AA10" s="13">
        <v>0</v>
      </c>
      <c r="AB10" s="13"/>
      <c r="AC10" s="13">
        <v>16.974299999999999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24" t="s">
        <v>73</v>
      </c>
      <c r="H11" s="24" t="s">
        <v>72</v>
      </c>
      <c r="I11" s="24">
        <f>'MERCADO TUSD'!$U$8</f>
        <v>1557.202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658.99429999999995</v>
      </c>
      <c r="Z11" s="13">
        <v>0</v>
      </c>
      <c r="AA11" s="13">
        <v>0</v>
      </c>
      <c r="AB11" s="13"/>
      <c r="AC11" s="13">
        <v>1460.9281000000001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24" t="s">
        <v>74</v>
      </c>
      <c r="H12" s="24" t="s">
        <v>72</v>
      </c>
      <c r="I12" s="24">
        <f>'MERCADO TUSD'!$U$9</f>
        <v>23427.474000000002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3">
      <c r="A13" s="92"/>
      <c r="B13" s="92"/>
      <c r="C13" s="92"/>
      <c r="D13" s="92"/>
      <c r="E13" s="92" t="s">
        <v>80</v>
      </c>
      <c r="F13" s="92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658.99429999999995</v>
      </c>
      <c r="Z13" s="13">
        <v>0</v>
      </c>
      <c r="AA13" s="13">
        <v>0</v>
      </c>
      <c r="AB13" s="13"/>
      <c r="AC13" s="13">
        <v>1460.9281000000001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24" t="s">
        <v>74</v>
      </c>
      <c r="H14" s="24" t="s">
        <v>72</v>
      </c>
      <c r="I14" s="24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3">
      <c r="A15" s="92" t="s">
        <v>82</v>
      </c>
      <c r="B15" s="92" t="s">
        <v>81</v>
      </c>
      <c r="C15" s="92" t="s">
        <v>25</v>
      </c>
      <c r="D15" s="92" t="s">
        <v>25</v>
      </c>
      <c r="E15" s="23" t="s">
        <v>83</v>
      </c>
      <c r="F15" s="23" t="s">
        <v>25</v>
      </c>
      <c r="G15" s="24" t="s">
        <v>9</v>
      </c>
      <c r="H15" s="24" t="s">
        <v>76</v>
      </c>
      <c r="I15" s="24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7.9210000000000003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3">
      <c r="A16" s="92"/>
      <c r="B16" s="92"/>
      <c r="C16" s="92"/>
      <c r="D16" s="92"/>
      <c r="E16" s="23" t="s">
        <v>84</v>
      </c>
      <c r="F16" s="23" t="s">
        <v>25</v>
      </c>
      <c r="G16" s="24" t="s">
        <v>9</v>
      </c>
      <c r="H16" s="24" t="s">
        <v>76</v>
      </c>
      <c r="I16" s="24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16.1157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3">
      <c r="A17" s="92" t="s">
        <v>22</v>
      </c>
      <c r="B17" s="92" t="s">
        <v>40</v>
      </c>
      <c r="C17" s="92" t="s">
        <v>24</v>
      </c>
      <c r="D17" s="92" t="s">
        <v>24</v>
      </c>
      <c r="E17" s="92" t="s">
        <v>25</v>
      </c>
      <c r="F17" s="92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241.26220000000001</v>
      </c>
      <c r="Z17" s="13">
        <v>0</v>
      </c>
      <c r="AA17" s="13">
        <v>0</v>
      </c>
      <c r="AB17" s="13"/>
      <c r="AC17" s="13">
        <v>682.58820000000003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24" t="s">
        <v>85</v>
      </c>
      <c r="H18" s="24" t="s">
        <v>72</v>
      </c>
      <c r="I18" s="24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144.75739999999999</v>
      </c>
      <c r="Z18" s="13">
        <v>0</v>
      </c>
      <c r="AA18" s="13">
        <v>0</v>
      </c>
      <c r="AB18" s="13"/>
      <c r="AC18" s="13">
        <v>409.55309999999997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24" t="s">
        <v>74</v>
      </c>
      <c r="H19" s="24" t="s">
        <v>72</v>
      </c>
      <c r="I19" s="24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48.296500000000002</v>
      </c>
      <c r="Z19" s="13">
        <v>0</v>
      </c>
      <c r="AA19" s="13">
        <v>0</v>
      </c>
      <c r="AB19" s="13"/>
      <c r="AC19" s="13">
        <v>136.51750000000001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3">
      <c r="A20" s="92"/>
      <c r="B20" s="92" t="s">
        <v>23</v>
      </c>
      <c r="C20" s="92" t="s">
        <v>24</v>
      </c>
      <c r="D20" s="23" t="s">
        <v>24</v>
      </c>
      <c r="E20" s="23" t="s">
        <v>25</v>
      </c>
      <c r="F20" s="23" t="s">
        <v>25</v>
      </c>
      <c r="G20" s="24" t="s">
        <v>79</v>
      </c>
      <c r="H20" s="24" t="s">
        <v>72</v>
      </c>
      <c r="I20" s="24">
        <f>'MERCADO TUSD'!$U$17</f>
        <v>5913.8329999999996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89.315600000000003</v>
      </c>
      <c r="Z20" s="13">
        <v>0</v>
      </c>
      <c r="AA20" s="13">
        <v>0</v>
      </c>
      <c r="AB20" s="13"/>
      <c r="AC20" s="13">
        <v>252.81049999999999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3">
      <c r="A21" s="92"/>
      <c r="B21" s="92"/>
      <c r="C21" s="92"/>
      <c r="D21" s="23" t="s">
        <v>29</v>
      </c>
      <c r="E21" s="23" t="s">
        <v>25</v>
      </c>
      <c r="F21" s="23" t="s">
        <v>25</v>
      </c>
      <c r="G21" s="24" t="s">
        <v>79</v>
      </c>
      <c r="H21" s="24" t="s">
        <v>72</v>
      </c>
      <c r="I21" s="24">
        <f>'MERCADO TUSD'!$U$18</f>
        <v>78.629000000000005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CUSTOS!$M$24)*89.3156</f>
        <v>89.315600000000003</v>
      </c>
      <c r="Z21" s="13">
        <v>0</v>
      </c>
      <c r="AA21" s="13">
        <v>0</v>
      </c>
      <c r="AB21" s="13"/>
      <c r="AC21" s="13">
        <f>(1 - CUSTOS!$M$24)*252.8105</f>
        <v>252.81049999999999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2"/>
      <c r="B22" s="92"/>
      <c r="C22" s="92"/>
      <c r="D22" s="23" t="s">
        <v>30</v>
      </c>
      <c r="E22" s="23" t="s">
        <v>25</v>
      </c>
      <c r="F22" s="23" t="s">
        <v>25</v>
      </c>
      <c r="G22" s="24" t="s">
        <v>79</v>
      </c>
      <c r="H22" s="24" t="s">
        <v>72</v>
      </c>
      <c r="I22" s="24">
        <f>'MERCADO TUSD'!$U$19</f>
        <v>159.86900000000003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CUSTOS!$M$25)*89.3156</f>
        <v>89.315600000000003</v>
      </c>
      <c r="Z22" s="13">
        <v>0</v>
      </c>
      <c r="AA22" s="13">
        <v>0</v>
      </c>
      <c r="AB22" s="13"/>
      <c r="AC22" s="13">
        <f>(1 - CUSTOS!$M$25)*252.8105</f>
        <v>252.81049999999999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2"/>
      <c r="B23" s="92"/>
      <c r="C23" s="92"/>
      <c r="D23" s="23" t="s">
        <v>31</v>
      </c>
      <c r="E23" s="23" t="s">
        <v>25</v>
      </c>
      <c r="F23" s="23" t="s">
        <v>25</v>
      </c>
      <c r="G23" s="24" t="s">
        <v>79</v>
      </c>
      <c r="H23" s="24" t="s">
        <v>72</v>
      </c>
      <c r="I23" s="24">
        <f>'MERCADO TUSD'!$U$20</f>
        <v>149.93899999999999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CUSTOS!$M$26)*89.3156</f>
        <v>89.315600000000003</v>
      </c>
      <c r="Z23" s="13">
        <v>0</v>
      </c>
      <c r="AA23" s="13">
        <v>0</v>
      </c>
      <c r="AB23" s="13"/>
      <c r="AC23" s="13">
        <f>(1 - CUSTOS!$M$26)*252.8105</f>
        <v>252.81049999999999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2"/>
      <c r="B24" s="92"/>
      <c r="C24" s="92"/>
      <c r="D24" s="23" t="s">
        <v>32</v>
      </c>
      <c r="E24" s="23" t="s">
        <v>25</v>
      </c>
      <c r="F24" s="23" t="s">
        <v>25</v>
      </c>
      <c r="G24" s="24" t="s">
        <v>79</v>
      </c>
      <c r="H24" s="24" t="s">
        <v>72</v>
      </c>
      <c r="I24" s="24">
        <f>'MERCADO TUSD'!$U$21</f>
        <v>50.329000000000001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CUSTOS!$M$27)*89.3156</f>
        <v>89.315600000000003</v>
      </c>
      <c r="Z24" s="13">
        <v>0</v>
      </c>
      <c r="AA24" s="13">
        <v>0</v>
      </c>
      <c r="AB24" s="13"/>
      <c r="AC24" s="13">
        <f>(1 - CUSTOS!$M$27)*252.8105</f>
        <v>252.81049999999999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2"/>
      <c r="B25" s="92" t="s">
        <v>88</v>
      </c>
      <c r="C25" s="92" t="s">
        <v>24</v>
      </c>
      <c r="D25" s="23" t="s">
        <v>24</v>
      </c>
      <c r="E25" s="23" t="s">
        <v>25</v>
      </c>
      <c r="F25" s="23" t="s">
        <v>25</v>
      </c>
      <c r="G25" s="24" t="s">
        <v>79</v>
      </c>
      <c r="H25" s="24" t="s">
        <v>72</v>
      </c>
      <c r="I25" s="24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89.315600000000003</v>
      </c>
      <c r="Z25" s="13">
        <v>0</v>
      </c>
      <c r="AA25" s="13">
        <v>0</v>
      </c>
      <c r="AB25" s="13"/>
      <c r="AC25" s="13">
        <v>252.81049999999999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3">
      <c r="A26" s="92"/>
      <c r="B26" s="92"/>
      <c r="C26" s="92"/>
      <c r="D26" s="23" t="s">
        <v>29</v>
      </c>
      <c r="E26" s="23" t="s">
        <v>25</v>
      </c>
      <c r="F26" s="23" t="s">
        <v>25</v>
      </c>
      <c r="G26" s="24" t="s">
        <v>79</v>
      </c>
      <c r="H26" s="24" t="s">
        <v>72</v>
      </c>
      <c r="I26" s="24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CUSTOS!$M$24)*89.3156</f>
        <v>89.315600000000003</v>
      </c>
      <c r="Z26" s="13">
        <v>0</v>
      </c>
      <c r="AA26" s="13">
        <v>0</v>
      </c>
      <c r="AB26" s="13"/>
      <c r="AC26" s="13">
        <f>(1 - CUSTOS!$M$24)*252.8105</f>
        <v>252.81049999999999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2"/>
      <c r="B27" s="92"/>
      <c r="C27" s="92"/>
      <c r="D27" s="23" t="s">
        <v>30</v>
      </c>
      <c r="E27" s="23" t="s">
        <v>25</v>
      </c>
      <c r="F27" s="23" t="s">
        <v>25</v>
      </c>
      <c r="G27" s="24" t="s">
        <v>79</v>
      </c>
      <c r="H27" s="24" t="s">
        <v>72</v>
      </c>
      <c r="I27" s="24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CUSTOS!$M$25)*89.3156</f>
        <v>89.315600000000003</v>
      </c>
      <c r="Z27" s="13">
        <v>0</v>
      </c>
      <c r="AA27" s="13">
        <v>0</v>
      </c>
      <c r="AB27" s="13"/>
      <c r="AC27" s="13">
        <f>(1 - CUSTOS!$M$25)*252.8105</f>
        <v>252.81049999999999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2"/>
      <c r="B28" s="92"/>
      <c r="C28" s="92"/>
      <c r="D28" s="23" t="s">
        <v>31</v>
      </c>
      <c r="E28" s="23" t="s">
        <v>25</v>
      </c>
      <c r="F28" s="23" t="s">
        <v>25</v>
      </c>
      <c r="G28" s="24" t="s">
        <v>79</v>
      </c>
      <c r="H28" s="24" t="s">
        <v>72</v>
      </c>
      <c r="I28" s="24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CUSTOS!$M$26)*89.3156</f>
        <v>89.315600000000003</v>
      </c>
      <c r="Z28" s="13">
        <v>0</v>
      </c>
      <c r="AA28" s="13">
        <v>0</v>
      </c>
      <c r="AB28" s="13"/>
      <c r="AC28" s="13">
        <f>(1 - CUSTOS!$M$26)*252.8105</f>
        <v>252.81049999999999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2"/>
      <c r="B29" s="92"/>
      <c r="C29" s="92"/>
      <c r="D29" s="23" t="s">
        <v>32</v>
      </c>
      <c r="E29" s="23" t="s">
        <v>25</v>
      </c>
      <c r="F29" s="23" t="s">
        <v>25</v>
      </c>
      <c r="G29" s="24" t="s">
        <v>79</v>
      </c>
      <c r="H29" s="24" t="s">
        <v>72</v>
      </c>
      <c r="I29" s="24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CUSTOS!$M$27)*89.3156</f>
        <v>89.315600000000003</v>
      </c>
      <c r="Z29" s="13">
        <v>0</v>
      </c>
      <c r="AA29" s="13">
        <v>0</v>
      </c>
      <c r="AB29" s="13"/>
      <c r="AC29" s="13">
        <f>(1 - CUSTOS!$M$27)*252.8105</f>
        <v>252.81049999999999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2" t="s">
        <v>42</v>
      </c>
      <c r="B30" s="92" t="s">
        <v>40</v>
      </c>
      <c r="C30" s="92" t="s">
        <v>43</v>
      </c>
      <c r="D30" s="92" t="s">
        <v>25</v>
      </c>
      <c r="E30" s="92" t="s">
        <v>25</v>
      </c>
      <c r="F30" s="92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CUSTOS!$M$28)*263.4919</f>
        <v>263.49189999999999</v>
      </c>
      <c r="Z30" s="13">
        <v>0</v>
      </c>
      <c r="AA30" s="13">
        <v>0</v>
      </c>
      <c r="AB30" s="13"/>
      <c r="AC30" s="13">
        <f>(1 - CUSTOS!$M$28)*745.7909</f>
        <v>745.79089999999997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24" t="s">
        <v>85</v>
      </c>
      <c r="H31" s="24" t="s">
        <v>72</v>
      </c>
      <c r="I31" s="24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CUSTOS!$M$28)*158.0775</f>
        <v>158.07749999999999</v>
      </c>
      <c r="Z31" s="13">
        <v>0</v>
      </c>
      <c r="AA31" s="13">
        <v>0</v>
      </c>
      <c r="AB31" s="13"/>
      <c r="AC31" s="13">
        <f>(1 - CUSTOS!$M$28)*447.4744</f>
        <v>447.4744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24" t="s">
        <v>74</v>
      </c>
      <c r="H32" s="24" t="s">
        <v>72</v>
      </c>
      <c r="I32" s="24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CUSTOS!$M$28)*52.6631</f>
        <v>52.6631</v>
      </c>
      <c r="Z32" s="13">
        <v>0</v>
      </c>
      <c r="AA32" s="13">
        <v>0</v>
      </c>
      <c r="AB32" s="13"/>
      <c r="AC32" s="13">
        <f>(1 - CUSTOS!$M$28)*149.1581</f>
        <v>149.15809999999999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2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79</v>
      </c>
      <c r="H33" s="24" t="s">
        <v>72</v>
      </c>
      <c r="I33" s="24">
        <f>'MERCADO TUSD'!$U$30</f>
        <v>5511.7490000000016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CUSTOS!$M$28)*89.3156</f>
        <v>89.315600000000003</v>
      </c>
      <c r="Z33" s="13">
        <v>0</v>
      </c>
      <c r="AA33" s="13">
        <v>0</v>
      </c>
      <c r="AB33" s="13"/>
      <c r="AC33" s="13">
        <f>(1 - CUSTOS!$M$28)*252.8105</f>
        <v>252.81049999999999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2"/>
      <c r="B34" s="92" t="s">
        <v>40</v>
      </c>
      <c r="C34" s="92" t="s">
        <v>43</v>
      </c>
      <c r="D34" s="92" t="s">
        <v>89</v>
      </c>
      <c r="E34" s="92" t="s">
        <v>25</v>
      </c>
      <c r="F34" s="92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CUSTOS!$M$29)*263.4919</f>
        <v>263.49189999999999</v>
      </c>
      <c r="Z34" s="13">
        <v>0</v>
      </c>
      <c r="AA34" s="13">
        <v>0</v>
      </c>
      <c r="AB34" s="13"/>
      <c r="AC34" s="13">
        <f>(1 - CUSTOS!$M$29)*745.7909</f>
        <v>745.79089999999997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24" t="s">
        <v>85</v>
      </c>
      <c r="H35" s="24" t="s">
        <v>72</v>
      </c>
      <c r="I35" s="24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CUSTOS!$M$29)*158.0775</f>
        <v>158.07749999999999</v>
      </c>
      <c r="Z35" s="13">
        <v>0</v>
      </c>
      <c r="AA35" s="13">
        <v>0</v>
      </c>
      <c r="AB35" s="13"/>
      <c r="AC35" s="13">
        <f>(1 - CUSTOS!$M$29)*447.4744</f>
        <v>447.4744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24" t="s">
        <v>74</v>
      </c>
      <c r="H36" s="24" t="s">
        <v>72</v>
      </c>
      <c r="I36" s="24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CUSTOS!$M$29)*52.6631</f>
        <v>52.6631</v>
      </c>
      <c r="Z36" s="13">
        <v>0</v>
      </c>
      <c r="AA36" s="13">
        <v>0</v>
      </c>
      <c r="AB36" s="13"/>
      <c r="AC36" s="13">
        <f>(1 - CUSTOS!$M$29)*149.1581</f>
        <v>149.15809999999999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2"/>
      <c r="B37" s="23" t="s">
        <v>23</v>
      </c>
      <c r="C37" s="23" t="s">
        <v>43</v>
      </c>
      <c r="D37" s="23" t="s">
        <v>89</v>
      </c>
      <c r="E37" s="23" t="s">
        <v>25</v>
      </c>
      <c r="F37" s="23" t="s">
        <v>25</v>
      </c>
      <c r="G37" s="24" t="s">
        <v>79</v>
      </c>
      <c r="H37" s="24" t="s">
        <v>72</v>
      </c>
      <c r="I37" s="24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CUSTOS!$M$29)*89.3156</f>
        <v>89.315600000000003</v>
      </c>
      <c r="Z37" s="13">
        <v>0</v>
      </c>
      <c r="AA37" s="13">
        <v>0</v>
      </c>
      <c r="AB37" s="13"/>
      <c r="AC37" s="13">
        <f>(1 - CUSTOS!$M$29)*252.8105</f>
        <v>252.81049999999999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2"/>
      <c r="B38" s="92" t="s">
        <v>40</v>
      </c>
      <c r="C38" s="92" t="s">
        <v>43</v>
      </c>
      <c r="D38" s="92" t="s">
        <v>90</v>
      </c>
      <c r="E38" s="92" t="s">
        <v>25</v>
      </c>
      <c r="F38" s="92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CUSTOS!$M$30)*263.4919</f>
        <v>263.49189999999999</v>
      </c>
      <c r="Z38" s="13">
        <v>0</v>
      </c>
      <c r="AA38" s="13">
        <v>0</v>
      </c>
      <c r="AB38" s="13"/>
      <c r="AC38" s="13">
        <f>(1 - CUSTOS!$M$30)*745.7909</f>
        <v>745.79089999999997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24" t="s">
        <v>85</v>
      </c>
      <c r="H39" s="24" t="s">
        <v>72</v>
      </c>
      <c r="I39" s="24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CUSTOS!$M$30)*158.0775</f>
        <v>158.07749999999999</v>
      </c>
      <c r="Z39" s="13">
        <v>0</v>
      </c>
      <c r="AA39" s="13">
        <v>0</v>
      </c>
      <c r="AB39" s="13"/>
      <c r="AC39" s="13">
        <f>(1 - CUSTOS!$M$30)*447.4744</f>
        <v>447.4744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24" t="s">
        <v>74</v>
      </c>
      <c r="H40" s="24" t="s">
        <v>72</v>
      </c>
      <c r="I40" s="24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CUSTOS!$M$30)*52.6631</f>
        <v>52.6631</v>
      </c>
      <c r="Z40" s="13">
        <v>0</v>
      </c>
      <c r="AA40" s="13">
        <v>0</v>
      </c>
      <c r="AB40" s="13"/>
      <c r="AC40" s="13">
        <f>(1 - CUSTOS!$M$30)*149.1581</f>
        <v>149.15809999999999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2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79</v>
      </c>
      <c r="H41" s="24" t="s">
        <v>72</v>
      </c>
      <c r="I41" s="24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CUSTOS!$M$30)*89.3156</f>
        <v>89.315600000000003</v>
      </c>
      <c r="Z41" s="13">
        <v>0</v>
      </c>
      <c r="AA41" s="13">
        <v>0</v>
      </c>
      <c r="AB41" s="13"/>
      <c r="AC41" s="13">
        <f>(1 - CUSTOS!$M$30)*252.8105</f>
        <v>252.81049999999999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2"/>
      <c r="B42" s="92" t="s">
        <v>88</v>
      </c>
      <c r="C42" s="92" t="s">
        <v>43</v>
      </c>
      <c r="D42" s="23" t="s">
        <v>25</v>
      </c>
      <c r="E42" s="23" t="s">
        <v>25</v>
      </c>
      <c r="F42" s="23" t="s">
        <v>25</v>
      </c>
      <c r="G42" s="24" t="s">
        <v>79</v>
      </c>
      <c r="H42" s="24" t="s">
        <v>72</v>
      </c>
      <c r="I42" s="24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CUSTOS!$M$28)*89.3156</f>
        <v>89.315600000000003</v>
      </c>
      <c r="Z42" s="13">
        <v>0</v>
      </c>
      <c r="AA42" s="13">
        <v>0</v>
      </c>
      <c r="AB42" s="13"/>
      <c r="AC42" s="13">
        <f>(1 - CUSTOS!$M$28)*252.8105</f>
        <v>252.81049999999999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2"/>
      <c r="B43" s="92"/>
      <c r="C43" s="92"/>
      <c r="D43" s="23" t="s">
        <v>89</v>
      </c>
      <c r="E43" s="23" t="s">
        <v>25</v>
      </c>
      <c r="F43" s="23" t="s">
        <v>25</v>
      </c>
      <c r="G43" s="24" t="s">
        <v>79</v>
      </c>
      <c r="H43" s="24" t="s">
        <v>72</v>
      </c>
      <c r="I43" s="24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CUSTOS!$M$29)*89.3156</f>
        <v>89.315600000000003</v>
      </c>
      <c r="Z43" s="13">
        <v>0</v>
      </c>
      <c r="AA43" s="13">
        <v>0</v>
      </c>
      <c r="AB43" s="13"/>
      <c r="AC43" s="13">
        <f>(1 - CUSTOS!$M$29)*252.8105</f>
        <v>252.81049999999999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2"/>
      <c r="B44" s="92"/>
      <c r="C44" s="92"/>
      <c r="D44" s="23" t="s">
        <v>90</v>
      </c>
      <c r="E44" s="23" t="s">
        <v>25</v>
      </c>
      <c r="F44" s="23" t="s">
        <v>25</v>
      </c>
      <c r="G44" s="24" t="s">
        <v>79</v>
      </c>
      <c r="H44" s="24" t="s">
        <v>72</v>
      </c>
      <c r="I44" s="24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CUSTOS!$M$30)*89.3156</f>
        <v>89.315600000000003</v>
      </c>
      <c r="Z44" s="13">
        <v>0</v>
      </c>
      <c r="AA44" s="13">
        <v>0</v>
      </c>
      <c r="AB44" s="13"/>
      <c r="AC44" s="13">
        <f>(1 - CUSTOS!$M$30)*252.8105</f>
        <v>252.81049999999999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2" t="s">
        <v>33</v>
      </c>
      <c r="B45" s="92" t="s">
        <v>40</v>
      </c>
      <c r="C45" s="92" t="s">
        <v>25</v>
      </c>
      <c r="D45" s="92" t="s">
        <v>25</v>
      </c>
      <c r="E45" s="92" t="s">
        <v>25</v>
      </c>
      <c r="F45" s="92" t="s">
        <v>25</v>
      </c>
      <c r="G45" s="24" t="s">
        <v>73</v>
      </c>
      <c r="H45" s="24" t="s">
        <v>72</v>
      </c>
      <c r="I45" s="24">
        <f>'MERCADO TUSD'!$U$42</f>
        <v>0.86799999999999977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CUSTOS!$M$31)*308.2158</f>
        <v>308.2158</v>
      </c>
      <c r="Z45" s="13">
        <v>0</v>
      </c>
      <c r="AA45" s="13">
        <v>0</v>
      </c>
      <c r="AB45" s="13"/>
      <c r="AC45" s="13">
        <f>(1 - CUSTOS!$M$31)*872.1959</f>
        <v>872.19590000000005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24" t="s">
        <v>85</v>
      </c>
      <c r="H46" s="24" t="s">
        <v>72</v>
      </c>
      <c r="I46" s="24">
        <f>'MERCADO TUSD'!$U$43</f>
        <v>0.57500000000000007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CUSTOS!$M$31)*184.8942</f>
        <v>184.89420000000001</v>
      </c>
      <c r="Z46" s="13">
        <v>0</v>
      </c>
      <c r="AA46" s="13">
        <v>0</v>
      </c>
      <c r="AB46" s="13"/>
      <c r="AC46" s="13">
        <f>(1 - CUSTOS!$M$31)*523.3175</f>
        <v>523.3175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24" t="s">
        <v>74</v>
      </c>
      <c r="H47" s="24" t="s">
        <v>72</v>
      </c>
      <c r="I47" s="24">
        <f>'MERCADO TUSD'!$U$44</f>
        <v>9.5989999999999984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CUSTOS!$M$31)*61.6167</f>
        <v>61.616700000000002</v>
      </c>
      <c r="Z47" s="13">
        <v>0</v>
      </c>
      <c r="AA47" s="13">
        <v>0</v>
      </c>
      <c r="AB47" s="13"/>
      <c r="AC47" s="13">
        <f>(1 - CUSTOS!$M$31)*174.4394</f>
        <v>174.43940000000001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79</v>
      </c>
      <c r="H48" s="24" t="s">
        <v>72</v>
      </c>
      <c r="I48" s="24">
        <f>'MERCADO TUSD'!$U$45</f>
        <v>3233.996000000001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CUSTOS!$M$31)*89.3156</f>
        <v>89.315600000000003</v>
      </c>
      <c r="Z48" s="13">
        <v>0</v>
      </c>
      <c r="AA48" s="13">
        <v>0</v>
      </c>
      <c r="AB48" s="13"/>
      <c r="AC48" s="13">
        <f>(1 - CUSTOS!$M$31)*252.8105</f>
        <v>252.81049999999999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2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79</v>
      </c>
      <c r="H49" s="24" t="s">
        <v>72</v>
      </c>
      <c r="I49" s="24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CUSTOS!$M$31)*89.3156</f>
        <v>89.315600000000003</v>
      </c>
      <c r="Z49" s="13">
        <v>0</v>
      </c>
      <c r="AA49" s="13">
        <v>0</v>
      </c>
      <c r="AB49" s="13"/>
      <c r="AC49" s="13">
        <f>(1 - CUSTOS!$M$31)*252.8105</f>
        <v>252.81049999999999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23" t="s">
        <v>47</v>
      </c>
      <c r="E50" s="23" t="s">
        <v>25</v>
      </c>
      <c r="F50" s="23" t="s">
        <v>25</v>
      </c>
      <c r="G50" s="24" t="s">
        <v>79</v>
      </c>
      <c r="H50" s="24" t="s">
        <v>72</v>
      </c>
      <c r="I50" s="24">
        <f>'MERCADO TUSD'!$U$47</f>
        <v>1210.0279999999998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CUSTOS!$M$32)*89.3156</f>
        <v>49.123580000000004</v>
      </c>
      <c r="Z50" s="13">
        <v>0</v>
      </c>
      <c r="AA50" s="13">
        <v>0</v>
      </c>
      <c r="AB50" s="13"/>
      <c r="AC50" s="13">
        <f>(1 - CUSTOS!$M$32)*252.8105</f>
        <v>139.04577499999999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2"/>
      <c r="B51" s="92"/>
      <c r="C51" s="92"/>
      <c r="D51" s="24" t="s">
        <v>91</v>
      </c>
      <c r="E51" s="24" t="s">
        <v>25</v>
      </c>
      <c r="F51" s="24" t="s">
        <v>25</v>
      </c>
      <c r="G51" s="24" t="s">
        <v>79</v>
      </c>
      <c r="H51" s="24" t="s">
        <v>72</v>
      </c>
      <c r="I51" s="24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CUSTOS!$M$33)*89.3156</f>
        <v>53.589359999999999</v>
      </c>
      <c r="Z51" s="13">
        <v>0</v>
      </c>
      <c r="AA51" s="13">
        <v>0</v>
      </c>
      <c r="AB51" s="13"/>
      <c r="AC51" s="13">
        <f>(1 - CUSTOS!$M$33)*252.8105</f>
        <v>151.68629999999999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3C3D-0998-4663-B5AE-591A544B55FF}">
  <dimension ref="A1:AP70"/>
  <sheetViews>
    <sheetView showGridLines="0" topLeftCell="Q1" workbookViewId="0">
      <selection activeCell="AP21" sqref="AP21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93" t="s">
        <v>62</v>
      </c>
      <c r="B1" s="93" t="s">
        <v>63</v>
      </c>
      <c r="C1" s="93" t="s">
        <v>64</v>
      </c>
      <c r="D1" s="93" t="s">
        <v>65</v>
      </c>
      <c r="E1" s="93" t="s">
        <v>66</v>
      </c>
      <c r="F1" s="93" t="s">
        <v>15</v>
      </c>
      <c r="G1" s="93" t="s">
        <v>68</v>
      </c>
      <c r="H1" s="93" t="s">
        <v>69</v>
      </c>
      <c r="I1" s="93" t="s">
        <v>524</v>
      </c>
      <c r="J1" s="85"/>
      <c r="L1" s="94" t="s">
        <v>525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P1" s="94" t="s">
        <v>526</v>
      </c>
    </row>
    <row r="2" spans="1:42" ht="11.25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85"/>
      <c r="L2" s="94" t="s">
        <v>423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P2" s="95"/>
    </row>
    <row r="3" spans="1:42" ht="11.25" customHeight="1" x14ac:dyDescent="0.3">
      <c r="A3" s="93"/>
      <c r="B3" s="93"/>
      <c r="C3" s="93"/>
      <c r="D3" s="93"/>
      <c r="E3" s="93"/>
      <c r="F3" s="93"/>
      <c r="G3" s="93"/>
      <c r="H3" s="93"/>
      <c r="I3" s="93"/>
      <c r="J3" s="85"/>
      <c r="L3" s="94" t="s">
        <v>424</v>
      </c>
      <c r="M3" s="94"/>
      <c r="N3" s="94"/>
      <c r="O3" s="94"/>
      <c r="P3" s="94"/>
      <c r="Q3" s="94"/>
      <c r="R3" s="94"/>
      <c r="S3" s="94"/>
      <c r="T3" s="94"/>
      <c r="U3" s="94" t="s">
        <v>433</v>
      </c>
      <c r="V3" s="94"/>
      <c r="W3" s="94"/>
      <c r="X3" s="94"/>
      <c r="Y3" s="94"/>
      <c r="Z3" s="94"/>
      <c r="AA3" s="94"/>
      <c r="AB3" s="94"/>
      <c r="AC3" s="94" t="s">
        <v>441</v>
      </c>
      <c r="AD3" s="94"/>
      <c r="AE3" s="94" t="s">
        <v>443</v>
      </c>
      <c r="AF3" s="94"/>
      <c r="AG3" s="94"/>
      <c r="AH3" s="94" t="s">
        <v>446</v>
      </c>
      <c r="AI3" s="94"/>
      <c r="AJ3" s="94"/>
      <c r="AK3" s="94"/>
      <c r="AL3" s="94"/>
      <c r="AM3" s="94" t="s">
        <v>432</v>
      </c>
      <c r="AP3" s="95"/>
    </row>
    <row r="4" spans="1:42" ht="11.25" customHeight="1" x14ac:dyDescent="0.3">
      <c r="A4" s="93"/>
      <c r="B4" s="93"/>
      <c r="C4" s="93"/>
      <c r="D4" s="93"/>
      <c r="E4" s="93"/>
      <c r="F4" s="93"/>
      <c r="G4" s="93"/>
      <c r="H4" s="93"/>
      <c r="I4" s="93"/>
      <c r="J4" s="85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6"/>
      <c r="AP4" s="95"/>
    </row>
    <row r="5" spans="1:42" ht="11.25" customHeight="1" x14ac:dyDescent="0.3">
      <c r="A5" s="92" t="s">
        <v>35</v>
      </c>
      <c r="B5" s="92" t="s">
        <v>75</v>
      </c>
      <c r="C5" s="92" t="s">
        <v>25</v>
      </c>
      <c r="D5" s="92" t="s">
        <v>25</v>
      </c>
      <c r="E5" s="92" t="s">
        <v>25</v>
      </c>
      <c r="F5" s="92" t="s">
        <v>25</v>
      </c>
      <c r="G5" s="24" t="s">
        <v>77</v>
      </c>
      <c r="H5" s="24" t="s">
        <v>76</v>
      </c>
      <c r="I5" s="24">
        <f>'MERCADO TUSD'!$U$2</f>
        <v>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27.3901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60.745399999999997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3">
      <c r="A6" s="92"/>
      <c r="B6" s="92"/>
      <c r="C6" s="92"/>
      <c r="D6" s="92"/>
      <c r="E6" s="92"/>
      <c r="F6" s="92"/>
      <c r="G6" s="24" t="s">
        <v>78</v>
      </c>
      <c r="H6" s="24" t="s">
        <v>76</v>
      </c>
      <c r="I6" s="24">
        <f>'MERCADO TUSD'!$U$3</f>
        <v>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11.0707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16.974299999999999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3">
      <c r="A7" s="92"/>
      <c r="B7" s="92"/>
      <c r="C7" s="92"/>
      <c r="D7" s="92"/>
      <c r="E7" s="92"/>
      <c r="F7" s="92"/>
      <c r="G7" s="24" t="s">
        <v>79</v>
      </c>
      <c r="H7" s="24" t="s">
        <v>72</v>
      </c>
      <c r="I7" s="24">
        <f>'MERCADO TUSD'!$U$4</f>
        <v>0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0.84615063840821048</v>
      </c>
      <c r="N7" s="13">
        <f ca="1">(+M7+O7+R7+U7+V7+W7+X7+Y7+Z7+AA7+AC7+AH7+AI7+AJ7+AK7)*CUSTOS!$M$5</f>
        <v>4.5079506384082102E-14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0.83089999999999997</v>
      </c>
      <c r="AI7" s="13">
        <v>0.83089999999999997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3">
      <c r="A8" s="92"/>
      <c r="B8" s="92"/>
      <c r="C8" s="92"/>
      <c r="D8" s="92"/>
      <c r="E8" s="23" t="s">
        <v>80</v>
      </c>
      <c r="F8" s="23" t="s">
        <v>25</v>
      </c>
      <c r="G8" s="24" t="s">
        <v>79</v>
      </c>
      <c r="H8" s="24" t="s">
        <v>72</v>
      </c>
      <c r="I8" s="24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0.84615063840821048</v>
      </c>
      <c r="N8" s="13">
        <f ca="1">(+M8+O8+R8+U8+V8+W8+X8+Y8+Z8+AA8+AC8+AH8+AI8+AJ8+AK8)*CUSTOS!$M$5</f>
        <v>3.5079506384082101E-14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0.83089999999999997</v>
      </c>
      <c r="AI8" s="13">
        <v>0.83089999999999997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3">
      <c r="A9" s="92"/>
      <c r="B9" s="23" t="s">
        <v>81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76</v>
      </c>
      <c r="I9" s="24">
        <f>'MERCADO TUSD'!$U$6</f>
        <v>0</v>
      </c>
      <c r="J9" s="15"/>
      <c r="L9" s="13">
        <v>0</v>
      </c>
      <c r="M9" s="13">
        <v>1.0500000000000001E-2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7.6791999999999998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24" t="s">
        <v>9</v>
      </c>
      <c r="H10" s="24" t="s">
        <v>76</v>
      </c>
      <c r="I10" s="24">
        <f>'MERCADO TUSD'!$U$7</f>
        <v>72477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11.0707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16.974299999999999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24" t="s">
        <v>73</v>
      </c>
      <c r="H11" s="24" t="s">
        <v>72</v>
      </c>
      <c r="I11" s="24">
        <f>'MERCADO TUSD'!$U$8</f>
        <v>1557.202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0.84615063840821048</v>
      </c>
      <c r="N11" s="13">
        <f ca="1">(+M11+O11+R11+U11+V11+W11+X11+Y11+Z11+AA11+AC11+AH11+AI11+AJ11+AK11)*CUSTOS!$M$5</f>
        <v>2.1244303506384082E-11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658.99429999999995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1460.9281000000001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0.83089999999999997</v>
      </c>
      <c r="AI11" s="13">
        <v>0.83089999999999997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24" t="s">
        <v>74</v>
      </c>
      <c r="H12" s="24" t="s">
        <v>72</v>
      </c>
      <c r="I12" s="24">
        <f>'MERCADO TUSD'!$U$9</f>
        <v>23427.474000000002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0.84615063840821048</v>
      </c>
      <c r="N12" s="13">
        <f ca="1">(+M12+O12+R12+U12+V12+W12+X12+Y12+Z12+AA12+AC12+AH12+AI12+AJ12+AK12)*CUSTOS!$M$5</f>
        <v>4.5079506384082102E-14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0.83089999999999997</v>
      </c>
      <c r="AI12" s="13">
        <v>0.83089999999999997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3">
      <c r="A13" s="92"/>
      <c r="B13" s="92"/>
      <c r="C13" s="92"/>
      <c r="D13" s="92"/>
      <c r="E13" s="92" t="s">
        <v>80</v>
      </c>
      <c r="F13" s="92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0.84615063840821048</v>
      </c>
      <c r="N13" s="13">
        <f ca="1">(+M13+O13+R13+U13+V13+W13+X13+Y13+Z13+AA13+AC13+AH13+AI13+AJ13+AK13)*CUSTOS!$M$5</f>
        <v>2.123430350638408E-11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658.99429999999995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1460.9281000000001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0.83089999999999997</v>
      </c>
      <c r="AI13" s="13">
        <v>0.83089999999999997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24" t="s">
        <v>74</v>
      </c>
      <c r="H14" s="24" t="s">
        <v>72</v>
      </c>
      <c r="I14" s="24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0.84615063840821048</v>
      </c>
      <c r="N14" s="13">
        <f ca="1">(+M14+O14+R14+U14+V14+W14+X14+Y14+Z14+AA14+AC14+AH14+AI14+AJ14+AK14)*CUSTOS!$M$5</f>
        <v>3.5079506384082101E-14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0.83089999999999997</v>
      </c>
      <c r="AI14" s="13">
        <v>0.83089999999999997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3">
      <c r="A15" s="92" t="s">
        <v>82</v>
      </c>
      <c r="B15" s="92" t="s">
        <v>81</v>
      </c>
      <c r="C15" s="92" t="s">
        <v>25</v>
      </c>
      <c r="D15" s="92" t="s">
        <v>25</v>
      </c>
      <c r="E15" s="23" t="s">
        <v>83</v>
      </c>
      <c r="F15" s="23" t="s">
        <v>25</v>
      </c>
      <c r="G15" s="24" t="s">
        <v>9</v>
      </c>
      <c r="H15" s="24" t="s">
        <v>76</v>
      </c>
      <c r="I15" s="24">
        <f>'MERCADO TUSD'!$U$12+0.00000001</f>
        <v>1E-8</v>
      </c>
      <c r="J15" s="15"/>
      <c r="L15" s="13">
        <v>0</v>
      </c>
      <c r="M15" s="13">
        <v>1.0800000000000001E-2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7.9210000000000003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3">
      <c r="A16" s="92"/>
      <c r="B16" s="92"/>
      <c r="C16" s="92"/>
      <c r="D16" s="92"/>
      <c r="E16" s="23" t="s">
        <v>84</v>
      </c>
      <c r="F16" s="23" t="s">
        <v>25</v>
      </c>
      <c r="G16" s="24" t="s">
        <v>9</v>
      </c>
      <c r="H16" s="24" t="s">
        <v>76</v>
      </c>
      <c r="I16" s="24">
        <f>'MERCADO TUSD'!$U$13+0.00000001</f>
        <v>1E-8</v>
      </c>
      <c r="J16" s="15"/>
      <c r="L16" s="13">
        <v>0</v>
      </c>
      <c r="M16" s="13">
        <v>1.0800000000000001E-2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16.1157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3">
      <c r="A17" s="92" t="s">
        <v>22</v>
      </c>
      <c r="B17" s="92" t="s">
        <v>40</v>
      </c>
      <c r="C17" s="92" t="s">
        <v>24</v>
      </c>
      <c r="D17" s="92" t="s">
        <v>24</v>
      </c>
      <c r="E17" s="92" t="s">
        <v>25</v>
      </c>
      <c r="F17" s="92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1.5247431277830881</v>
      </c>
      <c r="N17" s="13">
        <f ca="1">(+M17+O17+R17+U17+V17+W17+X17+Y17+Z17+AA17+AC17+AH17+AI17+AJ17+AK17)*CUSTOS!$M$5</f>
        <v>9.3167894312778295E-12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241.26220000000001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682.58820000000003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2.1518999999999999</v>
      </c>
      <c r="AI17" s="13">
        <v>2.1518999999999999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24" t="s">
        <v>85</v>
      </c>
      <c r="H18" s="24" t="s">
        <v>72</v>
      </c>
      <c r="I18" s="24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1.5247431277830881</v>
      </c>
      <c r="N18" s="13">
        <f ca="1">(+M18+O18+R18+U18+V18+W18+X18+Y18+Z18+AA18+AC18+AH18+AI18+AJ18+AK18)*CUSTOS!$M$5</f>
        <v>5.6213904312778303E-12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144.75739999999999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409.55309999999997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2.1518999999999999</v>
      </c>
      <c r="AI18" s="13">
        <v>2.1518999999999999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24" t="s">
        <v>74</v>
      </c>
      <c r="H19" s="24" t="s">
        <v>72</v>
      </c>
      <c r="I19" s="24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1.5247431277830881</v>
      </c>
      <c r="N19" s="13">
        <f ca="1">(+M19+O19+R19+U19+V19+W19+X19+Y19+Z19+AA19+AC19+AH19+AI19+AJ19+AK19)*CUSTOS!$M$5</f>
        <v>1.9264254312778316E-12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48.296500000000002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136.51750000000001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2.1518999999999999</v>
      </c>
      <c r="AI19" s="13">
        <v>2.1518999999999999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3">
      <c r="A20" s="92"/>
      <c r="B20" s="92" t="s">
        <v>23</v>
      </c>
      <c r="C20" s="92" t="s">
        <v>24</v>
      </c>
      <c r="D20" s="23" t="s">
        <v>24</v>
      </c>
      <c r="E20" s="23" t="s">
        <v>25</v>
      </c>
      <c r="F20" s="23" t="s">
        <v>25</v>
      </c>
      <c r="G20" s="24" t="s">
        <v>79</v>
      </c>
      <c r="H20" s="24" t="s">
        <v>72</v>
      </c>
      <c r="I20" s="24">
        <f>'MERCADO TUSD'!$U$17</f>
        <v>5913.8329999999996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1.5247431277830881</v>
      </c>
      <c r="N20" s="13">
        <f ca="1">(+M20+O20+R20+U20+V20+W20+X20+Y20+Z20+AA20+AC20+AH20+AI20+AJ20+AK20)*CUSTOS!$M$5</f>
        <v>3.4995464312778314E-12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89.315600000000003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252.81049999999999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2.1518999999999999</v>
      </c>
      <c r="AI20" s="13">
        <v>2.1518999999999999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3">
      <c r="A21" s="92"/>
      <c r="B21" s="92"/>
      <c r="C21" s="92"/>
      <c r="D21" s="23" t="s">
        <v>29</v>
      </c>
      <c r="E21" s="23" t="s">
        <v>25</v>
      </c>
      <c r="F21" s="23" t="s">
        <v>25</v>
      </c>
      <c r="G21" s="24" t="s">
        <v>79</v>
      </c>
      <c r="H21" s="24" t="s">
        <v>72</v>
      </c>
      <c r="I21" s="24">
        <f>'MERCADO TUSD'!$U$18</f>
        <v>78.629000000000005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1.5247431277830881</v>
      </c>
      <c r="N21" s="13">
        <f ca="1">(+M21+O21+R21+U21+V21+W21+X21+Y21+Z21+AA21+AC21+AH21+AI21+AJ21+AK21)*CUSTOS!$M$5</f>
        <v>3.4895464312778313E-12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89.315600000000003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252.81049999999999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CUSTOS!$M$24)*2.1519</f>
        <v>2.1518999999999999</v>
      </c>
      <c r="AI21" s="13">
        <f>(1 - CUSTOS!$M$24)*2.1519</f>
        <v>2.1518999999999999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2"/>
      <c r="B22" s="92"/>
      <c r="C22" s="92"/>
      <c r="D22" s="23" t="s">
        <v>30</v>
      </c>
      <c r="E22" s="23" t="s">
        <v>25</v>
      </c>
      <c r="F22" s="23" t="s">
        <v>25</v>
      </c>
      <c r="G22" s="24" t="s">
        <v>79</v>
      </c>
      <c r="H22" s="24" t="s">
        <v>72</v>
      </c>
      <c r="I22" s="24">
        <f>'MERCADO TUSD'!$U$19</f>
        <v>159.86900000000003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1.5247431277830881</v>
      </c>
      <c r="N22" s="13">
        <f ca="1">(+M22+O22+R22+U22+V22+W22+X22+Y22+Z22+AA22+AC22+AH22+AI22+AJ22+AK22)*CUSTOS!$M$5</f>
        <v>3.4895464312778313E-12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89.315600000000003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252.81049999999999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CUSTOS!$M$25)*2.1519</f>
        <v>2.1518999999999999</v>
      </c>
      <c r="AI22" s="13">
        <f>(1 - CUSTOS!$M$25)*2.1519</f>
        <v>2.1518999999999999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2"/>
      <c r="B23" s="92"/>
      <c r="C23" s="92"/>
      <c r="D23" s="23" t="s">
        <v>31</v>
      </c>
      <c r="E23" s="23" t="s">
        <v>25</v>
      </c>
      <c r="F23" s="23" t="s">
        <v>25</v>
      </c>
      <c r="G23" s="24" t="s">
        <v>79</v>
      </c>
      <c r="H23" s="24" t="s">
        <v>72</v>
      </c>
      <c r="I23" s="24">
        <f>'MERCADO TUSD'!$U$20</f>
        <v>149.93899999999999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1.5247431277830881</v>
      </c>
      <c r="N23" s="13">
        <f ca="1">(+M23+O23+R23+U23+V23+W23+X23+Y23+Z23+AA23+AC23+AH23+AI23+AJ23+AK23)*CUSTOS!$M$5</f>
        <v>3.4895464312778313E-12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89.315600000000003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252.81049999999999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CUSTOS!$M$26)*2.1519</f>
        <v>2.1518999999999999</v>
      </c>
      <c r="AI23" s="13">
        <f>(1 - CUSTOS!$M$26)*2.1519</f>
        <v>2.1518999999999999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2"/>
      <c r="B24" s="92"/>
      <c r="C24" s="92"/>
      <c r="D24" s="23" t="s">
        <v>32</v>
      </c>
      <c r="E24" s="23" t="s">
        <v>25</v>
      </c>
      <c r="F24" s="23" t="s">
        <v>25</v>
      </c>
      <c r="G24" s="24" t="s">
        <v>79</v>
      </c>
      <c r="H24" s="24" t="s">
        <v>72</v>
      </c>
      <c r="I24" s="24">
        <f>'MERCADO TUSD'!$U$21</f>
        <v>50.329000000000001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1.5247431277830881</v>
      </c>
      <c r="N24" s="13">
        <f ca="1">(+M24+O24+R24+U24+V24+W24+X24+Y24+Z24+AA24+AC24+AH24+AI24+AJ24+AK24)*CUSTOS!$M$5</f>
        <v>3.4895464312778313E-12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89.315600000000003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252.81049999999999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CUSTOS!$M$27)*2.1519</f>
        <v>2.1518999999999999</v>
      </c>
      <c r="AI24" s="13">
        <f>(1 - CUSTOS!$M$27)*2.1519</f>
        <v>2.1518999999999999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2"/>
      <c r="B25" s="92" t="s">
        <v>88</v>
      </c>
      <c r="C25" s="92" t="s">
        <v>24</v>
      </c>
      <c r="D25" s="23" t="s">
        <v>24</v>
      </c>
      <c r="E25" s="23" t="s">
        <v>25</v>
      </c>
      <c r="F25" s="23" t="s">
        <v>25</v>
      </c>
      <c r="G25" s="24" t="s">
        <v>79</v>
      </c>
      <c r="H25" s="24" t="s">
        <v>72</v>
      </c>
      <c r="I25" s="24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1.5247431277830881</v>
      </c>
      <c r="N25" s="13">
        <f ca="1">(+M25+O25+R25+U25+V25+W25+X25+Y25+Z25+AA25+AC25+AH25+AI25+AJ25+AK25)*CUSTOS!$M$5</f>
        <v>3.4995464312778314E-12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89.315600000000003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252.81049999999999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2.1518999999999999</v>
      </c>
      <c r="AI25" s="13">
        <v>2.1518999999999999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3">
      <c r="A26" s="92"/>
      <c r="B26" s="92"/>
      <c r="C26" s="92"/>
      <c r="D26" s="23" t="s">
        <v>29</v>
      </c>
      <c r="E26" s="23" t="s">
        <v>25</v>
      </c>
      <c r="F26" s="23" t="s">
        <v>25</v>
      </c>
      <c r="G26" s="24" t="s">
        <v>79</v>
      </c>
      <c r="H26" s="24" t="s">
        <v>72</v>
      </c>
      <c r="I26" s="24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1.5247431277830881</v>
      </c>
      <c r="N26" s="13">
        <f ca="1">(+M26+O26+R26+U26+V26+W26+X26+Y26+Z26+AA26+AC26+AH26+AI26+AJ26+AK26)*CUSTOS!$M$5</f>
        <v>3.4895464312778313E-12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89.315600000000003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252.81049999999999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CUSTOS!$M$24)*2.1519</f>
        <v>2.1518999999999999</v>
      </c>
      <c r="AI26" s="13">
        <f>(1 - CUSTOS!$M$24)*2.1519</f>
        <v>2.1518999999999999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2"/>
      <c r="B27" s="92"/>
      <c r="C27" s="92"/>
      <c r="D27" s="23" t="s">
        <v>30</v>
      </c>
      <c r="E27" s="23" t="s">
        <v>25</v>
      </c>
      <c r="F27" s="23" t="s">
        <v>25</v>
      </c>
      <c r="G27" s="24" t="s">
        <v>79</v>
      </c>
      <c r="H27" s="24" t="s">
        <v>72</v>
      </c>
      <c r="I27" s="24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1.5247431277830881</v>
      </c>
      <c r="N27" s="13">
        <f ca="1">(+M27+O27+R27+U27+V27+W27+X27+Y27+Z27+AA27+AC27+AH27+AI27+AJ27+AK27)*CUSTOS!$M$5</f>
        <v>3.4895464312778313E-12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89.315600000000003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252.81049999999999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CUSTOS!$M$25)*2.1519</f>
        <v>2.1518999999999999</v>
      </c>
      <c r="AI27" s="13">
        <f>(1 - CUSTOS!$M$25)*2.1519</f>
        <v>2.1518999999999999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2"/>
      <c r="B28" s="92"/>
      <c r="C28" s="92"/>
      <c r="D28" s="23" t="s">
        <v>31</v>
      </c>
      <c r="E28" s="23" t="s">
        <v>25</v>
      </c>
      <c r="F28" s="23" t="s">
        <v>25</v>
      </c>
      <c r="G28" s="24" t="s">
        <v>79</v>
      </c>
      <c r="H28" s="24" t="s">
        <v>72</v>
      </c>
      <c r="I28" s="24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1.5247431277830881</v>
      </c>
      <c r="N28" s="13">
        <f ca="1">(+M28+O28+R28+U28+V28+W28+X28+Y28+Z28+AA28+AC28+AH28+AI28+AJ28+AK28)*CUSTOS!$M$5</f>
        <v>3.4895464312778313E-12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89.315600000000003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252.81049999999999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CUSTOS!$M$26)*2.1519</f>
        <v>2.1518999999999999</v>
      </c>
      <c r="AI28" s="13">
        <f>(1 - CUSTOS!$M$26)*2.1519</f>
        <v>2.1518999999999999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2"/>
      <c r="B29" s="92"/>
      <c r="C29" s="92"/>
      <c r="D29" s="23" t="s">
        <v>32</v>
      </c>
      <c r="E29" s="23" t="s">
        <v>25</v>
      </c>
      <c r="F29" s="23" t="s">
        <v>25</v>
      </c>
      <c r="G29" s="24" t="s">
        <v>79</v>
      </c>
      <c r="H29" s="24" t="s">
        <v>72</v>
      </c>
      <c r="I29" s="24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1.5247431277830881</v>
      </c>
      <c r="N29" s="13">
        <f ca="1">(+M29+O29+R29+U29+V29+W29+X29+Y29+Z29+AA29+AC29+AH29+AI29+AJ29+AK29)*CUSTOS!$M$5</f>
        <v>3.4895464312778313E-12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89.315600000000003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252.81049999999999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CUSTOS!$M$27)*2.1519</f>
        <v>2.1518999999999999</v>
      </c>
      <c r="AI29" s="13">
        <f>(1 - CUSTOS!$M$27)*2.1519</f>
        <v>2.1518999999999999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2" t="s">
        <v>42</v>
      </c>
      <c r="B30" s="92" t="s">
        <v>40</v>
      </c>
      <c r="C30" s="92" t="s">
        <v>43</v>
      </c>
      <c r="D30" s="92" t="s">
        <v>25</v>
      </c>
      <c r="E30" s="92" t="s">
        <v>25</v>
      </c>
      <c r="F30" s="92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1.5247431277830881</v>
      </c>
      <c r="N30" s="13">
        <f ca="1">(+M30+O30+R30+U30+V30+W30+X30+Y30+Z30+AA30+AC30+AH30+AI30+AJ30+AK30)*CUSTOS!$M$5</f>
        <v>1.0171113431277829E-11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263.49189999999999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745.79089999999997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CUSTOS!$M$28)*2.1519</f>
        <v>2.1518999999999999</v>
      </c>
      <c r="AI30" s="13">
        <f>(1 - CUSTOS!$M$28)*2.1519</f>
        <v>2.1518999999999999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24" t="s">
        <v>85</v>
      </c>
      <c r="H31" s="24" t="s">
        <v>72</v>
      </c>
      <c r="I31" s="24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1.5247431277830881</v>
      </c>
      <c r="N31" s="13">
        <f ca="1">(+M31+O31+R31+U31+V31+W31+X31+Y31+Z31+AA31+AC31+AH31+AI31+AJ31+AK31)*CUSTOS!$M$5</f>
        <v>6.1338044312778296E-12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158.07749999999999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447.4744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CUSTOS!$M$28)*2.1519</f>
        <v>2.1518999999999999</v>
      </c>
      <c r="AI31" s="13">
        <f>(1 - CUSTOS!$M$28)*2.1519</f>
        <v>2.1518999999999999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24" t="s">
        <v>74</v>
      </c>
      <c r="H32" s="24" t="s">
        <v>72</v>
      </c>
      <c r="I32" s="24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1.5247431277830881</v>
      </c>
      <c r="N32" s="13">
        <f ca="1">(+M32+O32+R32+U32+V32+W32+X32+Y32+Z32+AA32+AC32+AH32+AI32+AJ32+AK32)*CUSTOS!$M$5</f>
        <v>2.096497431277831E-12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52.6631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149.15809999999999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CUSTOS!$M$28)*2.1519</f>
        <v>2.1518999999999999</v>
      </c>
      <c r="AI32" s="13">
        <f>(1 - CUSTOS!$M$28)*2.1519</f>
        <v>2.1518999999999999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2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79</v>
      </c>
      <c r="H33" s="24" t="s">
        <v>72</v>
      </c>
      <c r="I33" s="24">
        <f>'MERCADO TUSD'!$U$30</f>
        <v>5511.7490000000016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1.5247431277830881</v>
      </c>
      <c r="N33" s="13">
        <f ca="1">(+M33+O33+R33+U33+V33+W33+X33+Y33+Z33+AA33+AC33+AH33+AI33+AJ33+AK33)*CUSTOS!$M$5</f>
        <v>3.4995464312778314E-12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89.315600000000003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252.81049999999999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CUSTOS!$M$28)*2.1519</f>
        <v>2.1518999999999999</v>
      </c>
      <c r="AI33" s="13">
        <f>(1 - CUSTOS!$M$28)*2.1519</f>
        <v>2.1518999999999999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2"/>
      <c r="B34" s="92" t="s">
        <v>40</v>
      </c>
      <c r="C34" s="92" t="s">
        <v>43</v>
      </c>
      <c r="D34" s="92" t="s">
        <v>89</v>
      </c>
      <c r="E34" s="92" t="s">
        <v>25</v>
      </c>
      <c r="F34" s="92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1.5247431277830881</v>
      </c>
      <c r="N34" s="13">
        <f ca="1">(+M34+O34+R34+U34+V34+W34+X34+Y34+Z34+AA34+AC34+AH34+AI34+AJ34+AK34)*CUSTOS!$M$5</f>
        <v>1.0171113431277829E-11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263.49189999999999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745.79089999999997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CUSTOS!$M$29)*2.1519</f>
        <v>2.1518999999999999</v>
      </c>
      <c r="AI34" s="13">
        <f>(1 - CUSTOS!$M$29)*2.1519</f>
        <v>2.1518999999999999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24" t="s">
        <v>85</v>
      </c>
      <c r="H35" s="24" t="s">
        <v>72</v>
      </c>
      <c r="I35" s="24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1.5247431277830881</v>
      </c>
      <c r="N35" s="13">
        <f ca="1">(+M35+O35+R35+U35+V35+W35+X35+Y35+Z35+AA35+AC35+AH35+AI35+AJ35+AK35)*CUSTOS!$M$5</f>
        <v>6.1338044312778296E-12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158.07749999999999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447.4744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CUSTOS!$M$29)*2.1519</f>
        <v>2.1518999999999999</v>
      </c>
      <c r="AI35" s="13">
        <f>(1 - CUSTOS!$M$29)*2.1519</f>
        <v>2.1518999999999999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24" t="s">
        <v>74</v>
      </c>
      <c r="H36" s="24" t="s">
        <v>72</v>
      </c>
      <c r="I36" s="24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1.5247431277830881</v>
      </c>
      <c r="N36" s="13">
        <f ca="1">(+M36+O36+R36+U36+V36+W36+X36+Y36+Z36+AA36+AC36+AH36+AI36+AJ36+AK36)*CUSTOS!$M$5</f>
        <v>2.096497431277831E-12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52.6631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149.15809999999999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CUSTOS!$M$29)*2.1519</f>
        <v>2.1518999999999999</v>
      </c>
      <c r="AI36" s="13">
        <f>(1 - CUSTOS!$M$29)*2.1519</f>
        <v>2.1518999999999999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2"/>
      <c r="B37" s="23" t="s">
        <v>23</v>
      </c>
      <c r="C37" s="23" t="s">
        <v>43</v>
      </c>
      <c r="D37" s="23" t="s">
        <v>89</v>
      </c>
      <c r="E37" s="23" t="s">
        <v>25</v>
      </c>
      <c r="F37" s="23" t="s">
        <v>25</v>
      </c>
      <c r="G37" s="24" t="s">
        <v>79</v>
      </c>
      <c r="H37" s="24" t="s">
        <v>72</v>
      </c>
      <c r="I37" s="24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1.5247431277830881</v>
      </c>
      <c r="N37" s="13">
        <f ca="1">(+M37+O37+R37+U37+V37+W37+X37+Y37+Z37+AA37+AC37+AH37+AI37+AJ37+AK37)*CUSTOS!$M$5</f>
        <v>3.4995464312778314E-12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89.315600000000003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252.81049999999999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CUSTOS!$M$29)*2.1519</f>
        <v>2.1518999999999999</v>
      </c>
      <c r="AI37" s="13">
        <f>(1 - CUSTOS!$M$29)*2.1519</f>
        <v>2.1518999999999999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2"/>
      <c r="B38" s="92" t="s">
        <v>40</v>
      </c>
      <c r="C38" s="92" t="s">
        <v>43</v>
      </c>
      <c r="D38" s="92" t="s">
        <v>90</v>
      </c>
      <c r="E38" s="92" t="s">
        <v>25</v>
      </c>
      <c r="F38" s="92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1.5247431277830881</v>
      </c>
      <c r="N38" s="13">
        <f ca="1">(+M38+O38+R38+U38+V38+W38+X38+Y38+Z38+AA38+AC38+AH38+AI38+AJ38+AK38)*CUSTOS!$M$5</f>
        <v>1.0171113431277829E-11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263.49189999999999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745.79089999999997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CUSTOS!$M$30)*2.1519</f>
        <v>2.1518999999999999</v>
      </c>
      <c r="AI38" s="13">
        <f>(1 - CUSTOS!$M$30)*2.1519</f>
        <v>2.1518999999999999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24" t="s">
        <v>85</v>
      </c>
      <c r="H39" s="24" t="s">
        <v>72</v>
      </c>
      <c r="I39" s="24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1.5247431277830881</v>
      </c>
      <c r="N39" s="13">
        <f ca="1">(+M39+O39+R39+U39+V39+W39+X39+Y39+Z39+AA39+AC39+AH39+AI39+AJ39+AK39)*CUSTOS!$M$5</f>
        <v>6.1338044312778296E-12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158.07749999999999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447.4744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CUSTOS!$M$30)*2.1519</f>
        <v>2.1518999999999999</v>
      </c>
      <c r="AI39" s="13">
        <f>(1 - CUSTOS!$M$30)*2.1519</f>
        <v>2.1518999999999999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24" t="s">
        <v>74</v>
      </c>
      <c r="H40" s="24" t="s">
        <v>72</v>
      </c>
      <c r="I40" s="24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1.5247431277830881</v>
      </c>
      <c r="N40" s="13">
        <f ca="1">(+M40+O40+R40+U40+V40+W40+X40+Y40+Z40+AA40+AC40+AH40+AI40+AJ40+AK40)*CUSTOS!$M$5</f>
        <v>2.096497431277831E-12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52.6631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149.15809999999999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CUSTOS!$M$30)*2.1519</f>
        <v>2.1518999999999999</v>
      </c>
      <c r="AI40" s="13">
        <f>(1 - CUSTOS!$M$30)*2.1519</f>
        <v>2.1518999999999999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2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79</v>
      </c>
      <c r="H41" s="24" t="s">
        <v>72</v>
      </c>
      <c r="I41" s="24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1.5247431277830881</v>
      </c>
      <c r="N41" s="13">
        <f ca="1">(+M41+O41+R41+U41+V41+W41+X41+Y41+Z41+AA41+AC41+AH41+AI41+AJ41+AK41)*CUSTOS!$M$5</f>
        <v>3.4995464312778314E-12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89.315600000000003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252.81049999999999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CUSTOS!$M$30)*2.1519</f>
        <v>2.1518999999999999</v>
      </c>
      <c r="AI41" s="13">
        <f>(1 - CUSTOS!$M$30)*2.1519</f>
        <v>2.1518999999999999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2"/>
      <c r="B42" s="92" t="s">
        <v>88</v>
      </c>
      <c r="C42" s="92" t="s">
        <v>43</v>
      </c>
      <c r="D42" s="23" t="s">
        <v>25</v>
      </c>
      <c r="E42" s="23" t="s">
        <v>25</v>
      </c>
      <c r="F42" s="23" t="s">
        <v>25</v>
      </c>
      <c r="G42" s="24" t="s">
        <v>79</v>
      </c>
      <c r="H42" s="24" t="s">
        <v>72</v>
      </c>
      <c r="I42" s="24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1.5247431277830881</v>
      </c>
      <c r="N42" s="13">
        <f ca="1">(+M42+O42+R42+U42+V42+W42+X42+Y42+Z42+AA42+AC42+AH42+AI42+AJ42+AK42)*CUSTOS!$M$5</f>
        <v>3.4995464312778314E-12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89.315600000000003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252.81049999999999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CUSTOS!$M$28)*2.1519</f>
        <v>2.1518999999999999</v>
      </c>
      <c r="AI42" s="13">
        <f>(1 - CUSTOS!$M$28)*2.1519</f>
        <v>2.1518999999999999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2"/>
      <c r="B43" s="92"/>
      <c r="C43" s="92"/>
      <c r="D43" s="23" t="s">
        <v>89</v>
      </c>
      <c r="E43" s="23" t="s">
        <v>25</v>
      </c>
      <c r="F43" s="23" t="s">
        <v>25</v>
      </c>
      <c r="G43" s="24" t="s">
        <v>79</v>
      </c>
      <c r="H43" s="24" t="s">
        <v>72</v>
      </c>
      <c r="I43" s="24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1.5247431277830881</v>
      </c>
      <c r="N43" s="13">
        <f ca="1">(+M43+O43+R43+U43+V43+W43+X43+Y43+Z43+AA43+AC43+AH43+AI43+AJ43+AK43)*CUSTOS!$M$5</f>
        <v>3.4995464312778314E-12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89.315600000000003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252.81049999999999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CUSTOS!$M$29)*2.1519</f>
        <v>2.1518999999999999</v>
      </c>
      <c r="AI43" s="13">
        <f>(1 - CUSTOS!$M$29)*2.1519</f>
        <v>2.1518999999999999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2"/>
      <c r="B44" s="92"/>
      <c r="C44" s="92"/>
      <c r="D44" s="23" t="s">
        <v>90</v>
      </c>
      <c r="E44" s="23" t="s">
        <v>25</v>
      </c>
      <c r="F44" s="23" t="s">
        <v>25</v>
      </c>
      <c r="G44" s="24" t="s">
        <v>79</v>
      </c>
      <c r="H44" s="24" t="s">
        <v>72</v>
      </c>
      <c r="I44" s="24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1.5247431277830881</v>
      </c>
      <c r="N44" s="13">
        <f ca="1">(+M44+O44+R44+U44+V44+W44+X44+Y44+Z44+AA44+AC44+AH44+AI44+AJ44+AK44)*CUSTOS!$M$5</f>
        <v>3.4995464312778314E-12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89.315600000000003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252.81049999999999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CUSTOS!$M$30)*2.1519</f>
        <v>2.1518999999999999</v>
      </c>
      <c r="AI44" s="13">
        <f>(1 - CUSTOS!$M$30)*2.1519</f>
        <v>2.1518999999999999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2" t="s">
        <v>33</v>
      </c>
      <c r="B45" s="92" t="s">
        <v>40</v>
      </c>
      <c r="C45" s="92" t="s">
        <v>25</v>
      </c>
      <c r="D45" s="92" t="s">
        <v>25</v>
      </c>
      <c r="E45" s="92" t="s">
        <v>25</v>
      </c>
      <c r="F45" s="92" t="s">
        <v>25</v>
      </c>
      <c r="G45" s="24" t="s">
        <v>73</v>
      </c>
      <c r="H45" s="24" t="s">
        <v>72</v>
      </c>
      <c r="I45" s="24">
        <f>'MERCADO TUSD'!$U$42</f>
        <v>0.86799999999999977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1.5247431277830881</v>
      </c>
      <c r="N45" s="13">
        <f ca="1">(+M45+O45+R45+U45+V45+W45+X45+Y45+Z45+AA45+AC45+AH45+AI45+AJ45+AK45)*CUSTOS!$M$5</f>
        <v>1.1882402431277832E-11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308.2158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872.19590000000005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CUSTOS!$M$31)*2.1519</f>
        <v>2.1518999999999999</v>
      </c>
      <c r="AI45" s="13">
        <f>(1 - CUSTOS!$M$31)*2.1519</f>
        <v>2.1518999999999999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24" t="s">
        <v>85</v>
      </c>
      <c r="H46" s="24" t="s">
        <v>72</v>
      </c>
      <c r="I46" s="24">
        <f>'MERCADO TUSD'!$U$43</f>
        <v>0.57500000000000007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1.5247431277830881</v>
      </c>
      <c r="N46" s="13">
        <f ca="1">(+M46+O46+R46+U46+V46+W46+X46+Y46+Z46+AA46+AC46+AH46+AI46+AJ46+AK46)*CUSTOS!$M$5</f>
        <v>7.1604024312778298E-12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184.89420000000001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523.3175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CUSTOS!$M$31)*2.1519</f>
        <v>2.1518999999999999</v>
      </c>
      <c r="AI46" s="13">
        <f>(1 - CUSTOS!$M$31)*2.1519</f>
        <v>2.1518999999999999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24" t="s">
        <v>74</v>
      </c>
      <c r="H47" s="24" t="s">
        <v>72</v>
      </c>
      <c r="I47" s="24">
        <f>'MERCADO TUSD'!$U$44</f>
        <v>9.5989999999999984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1.5247431277830881</v>
      </c>
      <c r="N47" s="13">
        <f ca="1">(+M47+O47+R47+U47+V47+W47+X47+Y47+Z47+AA47+AC47+AH47+AI47+AJ47+AK47)*CUSTOS!$M$5</f>
        <v>2.4388464312778313E-12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61.616700000000002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174.43940000000001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CUSTOS!$M$31)*2.1519</f>
        <v>2.1518999999999999</v>
      </c>
      <c r="AI47" s="13">
        <f>(1 - CUSTOS!$M$31)*2.1519</f>
        <v>2.1518999999999999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79</v>
      </c>
      <c r="H48" s="24" t="s">
        <v>72</v>
      </c>
      <c r="I48" s="24">
        <f>'MERCADO TUSD'!$U$45</f>
        <v>3233.996000000001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1.5247431277830881</v>
      </c>
      <c r="N48" s="13">
        <f ca="1">(+M48+O48+R48+U48+V48+W48+X48+Y48+Z48+AA48+AC48+AH48+AI48+AJ48+AK48)*CUSTOS!$M$5</f>
        <v>3.4995464312778314E-12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89.315600000000003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252.81049999999999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CUSTOS!$M$31)*2.1519</f>
        <v>2.1518999999999999</v>
      </c>
      <c r="AI48" s="13">
        <f>(1 - CUSTOS!$M$31)*2.1519</f>
        <v>2.1518999999999999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2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79</v>
      </c>
      <c r="H49" s="24" t="s">
        <v>72</v>
      </c>
      <c r="I49" s="24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1.5247431277830881</v>
      </c>
      <c r="N49" s="13">
        <f ca="1">(+M49+O49+R49+U49+V49+W49+X49+Y49+Z49+AA49+AC49+AH49+AI49+AJ49+AK49)*CUSTOS!$M$5</f>
        <v>3.4995464312778314E-12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89.315600000000003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252.81049999999999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CUSTOS!$M$31)*2.1519</f>
        <v>2.1518999999999999</v>
      </c>
      <c r="AI49" s="13">
        <f>(1 - CUSTOS!$M$31)*2.1519</f>
        <v>2.1518999999999999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23" t="s">
        <v>47</v>
      </c>
      <c r="E50" s="23" t="s">
        <v>25</v>
      </c>
      <c r="F50" s="23" t="s">
        <v>25</v>
      </c>
      <c r="G50" s="24" t="s">
        <v>79</v>
      </c>
      <c r="H50" s="24" t="s">
        <v>72</v>
      </c>
      <c r="I50" s="24">
        <f>'MERCADO TUSD'!$U$47</f>
        <v>1210.0279999999998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0.83860872028069855</v>
      </c>
      <c r="N50" s="13">
        <f ca="1">(+M50+O50+R50+U50+V50+W50+X50+Y50+Z50+AA50+AC50+AH50+AI50+AJ50+AK50)*CUSTOS!$M$5</f>
        <v>1.9247505372028068E-12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49.123580000000004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139.04577499999999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CUSTOS!$M$32)*2.1519</f>
        <v>1.1835450000000001</v>
      </c>
      <c r="AI50" s="13">
        <f>(1 - CUSTOS!$M$32)*2.1519</f>
        <v>1.1835450000000001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2"/>
      <c r="B51" s="92"/>
      <c r="C51" s="92"/>
      <c r="D51" s="24" t="s">
        <v>91</v>
      </c>
      <c r="E51" s="24" t="s">
        <v>25</v>
      </c>
      <c r="F51" s="24" t="s">
        <v>25</v>
      </c>
      <c r="G51" s="24" t="s">
        <v>79</v>
      </c>
      <c r="H51" s="24" t="s">
        <v>72</v>
      </c>
      <c r="I51" s="24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0.91484587666985284</v>
      </c>
      <c r="N51" s="13">
        <f ca="1">(+M51+O51+R51+U51+V51+W51+X51+Y51+Z51+AA51+AC51+AH51+AI51+AJ51+AK51)*CUSTOS!$M$5</f>
        <v>2.0997278587666988E-12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53.589359999999999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151.68629999999999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CUSTOS!$M$33)*2.1519</f>
        <v>1.29114</v>
      </c>
      <c r="AI51" s="13">
        <f>(1 - CUSTOS!$M$33)*2.1519</f>
        <v>1.29114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3">
      <c r="K53" s="16" t="s">
        <v>527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3">
      <c r="K54" s="16" t="s">
        <v>528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3">
      <c r="K55" s="16" t="s">
        <v>529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36323.26324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45193.472048928328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8.933758276253189E-8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40759.577400000002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40320.811399999999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36323.26324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40320.811399999999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40759.577400000002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3237482.2306579403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7493208.0945244404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54705.77761106001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54705.77761106001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3">
      <c r="K56" s="16" t="s">
        <v>465</v>
      </c>
      <c r="L56" s="13">
        <f>CUSTOS!$D$2</f>
        <v>0</v>
      </c>
      <c r="M56" s="13">
        <f>CUSTOS!$D$3</f>
        <v>46023.713893769425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3294285.67936</v>
      </c>
      <c r="R56" s="13">
        <f>CUSTOS!$D$8</f>
        <v>577427.02811999992</v>
      </c>
      <c r="S56" s="13">
        <f>CUSTOS!$D$9</f>
        <v>0</v>
      </c>
      <c r="T56" s="13">
        <f>CUSTOS!$D$10</f>
        <v>3917736.4213737692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4210458.682</v>
      </c>
      <c r="Z56" s="13">
        <f>Z54</f>
        <v>0</v>
      </c>
      <c r="AA56" s="13">
        <f>AA54</f>
        <v>0</v>
      </c>
      <c r="AB56" s="13">
        <f>CUSTOS!$D$18</f>
        <v>4210458.682</v>
      </c>
      <c r="AC56" s="13">
        <f>CUSTOS!$D$19</f>
        <v>10281408.04154011</v>
      </c>
      <c r="AD56" s="13">
        <f>CUSTOS!$D$20</f>
        <v>10281408.04154011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45738.461918426372</v>
      </c>
      <c r="AI56" s="13">
        <f>CUSTOS!$D$25</f>
        <v>1848.3949990074575</v>
      </c>
      <c r="AJ56" s="13">
        <f>CUSTOS!$D$26</f>
        <v>0</v>
      </c>
      <c r="AK56" s="13">
        <f>CUSTOS!$D$27</f>
        <v>0</v>
      </c>
      <c r="AL56" s="13">
        <f>CUSTOS!$D$28</f>
        <v>47586.856917433826</v>
      </c>
      <c r="AM56" s="13">
        <f>CUSTOS!$D$29</f>
        <v>18457190.001831315</v>
      </c>
    </row>
    <row r="57" spans="1:42" ht="11.25" customHeight="1" x14ac:dyDescent="0.3">
      <c r="K57" s="16" t="s">
        <v>466</v>
      </c>
      <c r="L57" s="13">
        <f>CUSTOS!$E$2</f>
        <v>0</v>
      </c>
      <c r="M57" s="13">
        <f>CUSTOS!$E$3</f>
        <v>-853.90027895057767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-120209.74283909067</v>
      </c>
      <c r="R57" s="13">
        <f>CUSTOS!$E$8</f>
        <v>-24479.030390304055</v>
      </c>
      <c r="S57" s="13">
        <f>CUSTOS!$E$9</f>
        <v>0</v>
      </c>
      <c r="T57" s="13">
        <f>CUSTOS!$E$10</f>
        <v>-145542.67350834529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101885.57692599652</v>
      </c>
      <c r="Z57" s="13">
        <f>CUSTOS!$E$16</f>
        <v>0</v>
      </c>
      <c r="AA57" s="13">
        <f>CUSTOS!$E$17</f>
        <v>0</v>
      </c>
      <c r="AB57" s="13">
        <f>CUSTOS!$E$18</f>
        <v>101885.57692599652</v>
      </c>
      <c r="AC57" s="13">
        <f>CUSTOS!$E$19</f>
        <v>-3626354.5267763063</v>
      </c>
      <c r="AD57" s="13">
        <f>CUSTOS!$E$20</f>
        <v>-3626354.5267763063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654.8741056701972</v>
      </c>
      <c r="AI57" s="13">
        <f>CUSTOS!$E$25</f>
        <v>26.464948123072343</v>
      </c>
      <c r="AJ57" s="13">
        <f>CUSTOS!$E$26</f>
        <v>0</v>
      </c>
      <c r="AK57" s="13">
        <f>CUSTOS!$E$27</f>
        <v>0</v>
      </c>
      <c r="AL57" s="13">
        <f>CUSTOS!$E$28</f>
        <v>681.3390537932695</v>
      </c>
      <c r="AM57" s="13">
        <f>CUSTOS!$E$29</f>
        <v>-3669330.2843048619</v>
      </c>
    </row>
    <row r="58" spans="1:42" ht="11.25" customHeight="1" x14ac:dyDescent="0.3">
      <c r="K58" s="16" t="s">
        <v>467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3">
      <c r="K59" s="16" t="s">
        <v>530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3">
      <c r="K60" s="16" t="s">
        <v>531</v>
      </c>
      <c r="L60" s="13">
        <f t="shared" ref="L60:S60" si="1">IF((L55+L53)&lt;&gt;0,(L56-L54-L59)/(L55+L53),0)</f>
        <v>0</v>
      </c>
      <c r="M60" s="13">
        <f t="shared" si="1"/>
        <v>1.0183708355919687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90.693549684496901</v>
      </c>
      <c r="R60" s="13">
        <f t="shared" si="1"/>
        <v>14.320818655945995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1.3005349163397033</v>
      </c>
      <c r="Z60" s="13"/>
      <c r="AA60" s="13"/>
      <c r="AB60" s="13"/>
      <c r="AC60" s="13">
        <f>IF(AC55&lt;&gt;0,(AC56-AC54-AC53-AC59)/AC55,0)</f>
        <v>1.3720969592520871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0.83608101220334918</v>
      </c>
      <c r="AI60" s="13">
        <f>IF(AI55&lt;&gt;0,(AI56-AI54-AI53-AI59)/AI55,0)</f>
        <v>3.3787930264860412E-2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3">
      <c r="K62" s="25" t="s">
        <v>535</v>
      </c>
      <c r="L62" s="25" t="s">
        <v>536</v>
      </c>
      <c r="M62" s="25" t="s">
        <v>537</v>
      </c>
      <c r="N62" s="25" t="s">
        <v>538</v>
      </c>
      <c r="O62" s="25" t="s">
        <v>539</v>
      </c>
      <c r="P62" s="25" t="s">
        <v>540</v>
      </c>
    </row>
    <row r="63" spans="1:42" ht="11.25" customHeight="1" x14ac:dyDescent="0.3">
      <c r="K63" s="24" t="s">
        <v>35</v>
      </c>
      <c r="L63" s="2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9488372.7681139372</v>
      </c>
      <c r="M63" s="24">
        <f>+'TUSD BE'!$I$7+'TUSD BE'!$I$8+'TUSD BE'!$I$11+'TUSD BE'!$I$12+'TUSD BE'!$I$13+'TUSD BE'!$I$14</f>
        <v>24984.676000000003</v>
      </c>
      <c r="N63" s="24">
        <f ca="1">IF(AND($L$70&lt;&gt;0,M63&lt;&gt;0),(L63/$L$70*$AJ$56)/M63,0)</f>
        <v>0</v>
      </c>
      <c r="O63" s="24"/>
      <c r="P63" s="24"/>
    </row>
    <row r="64" spans="1:42" ht="11.25" customHeight="1" x14ac:dyDescent="0.3">
      <c r="K64" s="24" t="s">
        <v>82</v>
      </c>
      <c r="L64" s="24">
        <f ca="1">+$L$65+$L$66+$L$67+$L$68+$L$69</f>
        <v>8968817.2337170467</v>
      </c>
      <c r="M64" s="24">
        <f>+$M$65+$M$66+$M$67+$M$68+$M$69</f>
        <v>16319.414000000002</v>
      </c>
      <c r="N64" s="24">
        <f ca="1">IF(AND($L$70&lt;&gt;0,M64&lt;&gt;0),(L64/$L$70*$AJ$56)/M64,0)</f>
        <v>0</v>
      </c>
      <c r="O64" s="24"/>
      <c r="P64" s="24"/>
    </row>
    <row r="65" spans="11:16" ht="11.25" customHeight="1" x14ac:dyDescent="0.3">
      <c r="K65" s="24" t="s">
        <v>82</v>
      </c>
      <c r="L65" s="24"/>
      <c r="M65" s="24"/>
      <c r="N65" s="24">
        <f ca="1">IF(AND($L$70&lt;&gt;0,M65&lt;&gt;0),(L65/$L$70*$AJ$56)/M65,0)</f>
        <v>0</v>
      </c>
      <c r="O65" s="24"/>
      <c r="P65" s="24"/>
    </row>
    <row r="66" spans="11:16" ht="11.25" customHeight="1" x14ac:dyDescent="0.3">
      <c r="K66" s="24" t="s">
        <v>22</v>
      </c>
      <c r="L66" s="24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3584291.0922894469</v>
      </c>
      <c r="M66" s="24">
        <f>+'TUSD BE'!$I$17+'TUSD BE'!$I$18+'TUSD BE'!$I$19+'TUSD BE'!$I$20+'TUSD BE'!$I$21+'TUSD BE'!$I$22+'TUSD BE'!$I$23+'TUSD BE'!$I$24+'TUSD BE'!$I$25+'TUSD BE'!$I$26+'TUSD BE'!$I$27+'TUSD BE'!$I$28+'TUSD BE'!$I$29</f>
        <v>6352.5989999999993</v>
      </c>
      <c r="N66" s="24"/>
      <c r="O66" s="24"/>
      <c r="P66" s="24"/>
    </row>
    <row r="67" spans="11:16" ht="11.25" customHeight="1" x14ac:dyDescent="0.3">
      <c r="K67" s="24" t="s">
        <v>42</v>
      </c>
      <c r="L67" s="24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3149840.9136249539</v>
      </c>
      <c r="M67" s="24">
        <f>+'TUSD BE'!$I$30+'TUSD BE'!$I$31+'TUSD BE'!$I$32+'TUSD BE'!$I$33+'TUSD BE'!$I$34+'TUSD BE'!$I$35+'TUSD BE'!$I$36+'TUSD BE'!$I$37+'TUSD BE'!$I$38+'TUSD BE'!$I$39+'TUSD BE'!$I$40+'TUSD BE'!$I$41+'TUSD BE'!$I$42+'TUSD BE'!$I$43+'TUSD BE'!$I$44</f>
        <v>5511.7490000000016</v>
      </c>
      <c r="N67" s="24"/>
      <c r="O67" s="24"/>
      <c r="P67" s="24"/>
    </row>
    <row r="68" spans="11:16" ht="11.25" customHeight="1" x14ac:dyDescent="0.3">
      <c r="K68" s="24" t="s">
        <v>33</v>
      </c>
      <c r="L68" s="24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1854358.1055829157</v>
      </c>
      <c r="M68" s="24">
        <f>+'TUSD BE'!$I$45+'TUSD BE'!$I$46+'TUSD BE'!$I$47+'TUSD BE'!$I$48+'TUSD BE'!$I$49</f>
        <v>3245.0380000000009</v>
      </c>
      <c r="N68" s="24"/>
      <c r="O68" s="24"/>
      <c r="P68" s="24"/>
    </row>
    <row r="69" spans="11:16" ht="11.25" customHeight="1" x14ac:dyDescent="0.3">
      <c r="K69" s="24" t="s">
        <v>45</v>
      </c>
      <c r="L69" s="24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380327.12221973028</v>
      </c>
      <c r="M69" s="24">
        <f>+'TUSD BE'!$I$50+'TUSD BE'!$I$51</f>
        <v>1210.0279999999998</v>
      </c>
      <c r="N69" s="24"/>
      <c r="O69" s="24"/>
      <c r="P69" s="24"/>
    </row>
    <row r="70" spans="11:16" ht="11.25" customHeight="1" x14ac:dyDescent="0.3">
      <c r="K70" s="24"/>
      <c r="L70" s="24">
        <f ca="1">SUM($L$63:$L$69,-$L$64)</f>
        <v>18457190.001830984</v>
      </c>
      <c r="M70" s="24">
        <f>SUM($M$63:$M$69,-$M$64)</f>
        <v>41304.090000000004</v>
      </c>
      <c r="N70" s="24"/>
      <c r="O70" s="24"/>
      <c r="P70" s="24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E1E5-F280-4C64-9077-3535BA62CDC3}">
  <dimension ref="A1:AP58"/>
  <sheetViews>
    <sheetView showGridLines="0" topLeftCell="L2" workbookViewId="0">
      <selection activeCell="AM53" sqref="AM53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93" t="s">
        <v>62</v>
      </c>
      <c r="B1" s="93" t="s">
        <v>63</v>
      </c>
      <c r="C1" s="93" t="s">
        <v>64</v>
      </c>
      <c r="D1" s="93" t="s">
        <v>65</v>
      </c>
      <c r="E1" s="93" t="s">
        <v>66</v>
      </c>
      <c r="F1" s="93" t="s">
        <v>15</v>
      </c>
      <c r="G1" s="93" t="s">
        <v>68</v>
      </c>
      <c r="H1" s="93" t="s">
        <v>69</v>
      </c>
      <c r="I1" s="93" t="s">
        <v>524</v>
      </c>
      <c r="J1" s="85"/>
      <c r="L1" s="94" t="s">
        <v>532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P1" s="94" t="s">
        <v>526</v>
      </c>
    </row>
    <row r="2" spans="1:42" ht="11.25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85"/>
      <c r="L2" s="94" t="s">
        <v>423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P2" s="95"/>
    </row>
    <row r="3" spans="1:42" ht="11.25" customHeight="1" x14ac:dyDescent="0.3">
      <c r="A3" s="93"/>
      <c r="B3" s="93"/>
      <c r="C3" s="93"/>
      <c r="D3" s="93"/>
      <c r="E3" s="93"/>
      <c r="F3" s="93"/>
      <c r="G3" s="93"/>
      <c r="H3" s="93"/>
      <c r="I3" s="93"/>
      <c r="J3" s="85"/>
      <c r="L3" s="94" t="s">
        <v>424</v>
      </c>
      <c r="M3" s="94"/>
      <c r="N3" s="94"/>
      <c r="O3" s="94"/>
      <c r="P3" s="94"/>
      <c r="Q3" s="94"/>
      <c r="R3" s="94"/>
      <c r="S3" s="94"/>
      <c r="T3" s="94"/>
      <c r="U3" s="94" t="s">
        <v>433</v>
      </c>
      <c r="V3" s="94"/>
      <c r="W3" s="94"/>
      <c r="X3" s="94"/>
      <c r="Y3" s="94"/>
      <c r="Z3" s="94"/>
      <c r="AA3" s="94"/>
      <c r="AB3" s="94"/>
      <c r="AC3" s="94" t="s">
        <v>441</v>
      </c>
      <c r="AD3" s="94"/>
      <c r="AE3" s="94" t="s">
        <v>443</v>
      </c>
      <c r="AF3" s="94"/>
      <c r="AG3" s="94"/>
      <c r="AH3" s="94" t="s">
        <v>446</v>
      </c>
      <c r="AI3" s="94"/>
      <c r="AJ3" s="94"/>
      <c r="AK3" s="94"/>
      <c r="AL3" s="94"/>
      <c r="AM3" s="94" t="s">
        <v>432</v>
      </c>
      <c r="AP3" s="95"/>
    </row>
    <row r="4" spans="1:42" ht="11.25" customHeight="1" x14ac:dyDescent="0.3">
      <c r="A4" s="93"/>
      <c r="B4" s="93"/>
      <c r="C4" s="93"/>
      <c r="D4" s="93"/>
      <c r="E4" s="93"/>
      <c r="F4" s="93"/>
      <c r="G4" s="93"/>
      <c r="H4" s="93"/>
      <c r="I4" s="93"/>
      <c r="J4" s="85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6"/>
      <c r="AP4" s="95"/>
    </row>
    <row r="5" spans="1:42" ht="11.25" customHeight="1" x14ac:dyDescent="0.3">
      <c r="A5" s="92" t="s">
        <v>35</v>
      </c>
      <c r="B5" s="92" t="s">
        <v>75</v>
      </c>
      <c r="C5" s="92" t="s">
        <v>25</v>
      </c>
      <c r="D5" s="92" t="s">
        <v>25</v>
      </c>
      <c r="E5" s="92" t="s">
        <v>25</v>
      </c>
      <c r="F5" s="92" t="s">
        <v>25</v>
      </c>
      <c r="G5" s="24" t="s">
        <v>77</v>
      </c>
      <c r="H5" s="24" t="s">
        <v>76</v>
      </c>
      <c r="I5" s="24">
        <f>'MERCADO TUSD'!$U$2</f>
        <v>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35.621781412036107</v>
      </c>
      <c r="Z5" s="13">
        <f>'TR TUSD'!$Z$5</f>
        <v>0</v>
      </c>
      <c r="AA5" s="13">
        <f>'TR TUSD'!$AA$5</f>
        <v>0</v>
      </c>
      <c r="AB5" s="13">
        <f>SUM($U$5:$AA$5)</f>
        <v>35.621781412036107</v>
      </c>
      <c r="AC5" s="13">
        <f>'TR TUSD'!$AC$5*'TR TUSD'!$AC$60</f>
        <v>83.348578628551721</v>
      </c>
      <c r="AD5" s="13">
        <f>SUM($AC$5:$AC$5)</f>
        <v>83.348578628551721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118.97036004058782</v>
      </c>
      <c r="AP5" s="13">
        <v>1</v>
      </c>
    </row>
    <row r="6" spans="1:42" ht="11.25" customHeight="1" x14ac:dyDescent="0.3">
      <c r="A6" s="92"/>
      <c r="B6" s="92"/>
      <c r="C6" s="92"/>
      <c r="D6" s="92"/>
      <c r="E6" s="92"/>
      <c r="F6" s="92"/>
      <c r="G6" s="24" t="s">
        <v>78</v>
      </c>
      <c r="H6" s="24" t="s">
        <v>76</v>
      </c>
      <c r="I6" s="24">
        <f>'MERCADO TUSD'!$U$3</f>
        <v>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14.397831898321954</v>
      </c>
      <c r="Z6" s="13">
        <f>'TR TUSD'!$Z$6</f>
        <v>0</v>
      </c>
      <c r="AA6" s="13">
        <f>'TR TUSD'!$AA$6</f>
        <v>0</v>
      </c>
      <c r="AB6" s="13">
        <f>SUM($U$6:$AA$6)</f>
        <v>14.397831898321954</v>
      </c>
      <c r="AC6" s="13">
        <f>'TR TUSD'!$AC$6*'TR TUSD'!$AC$60</f>
        <v>23.290385415432702</v>
      </c>
      <c r="AD6" s="13">
        <f>SUM($AC$6:$AC$6)</f>
        <v>23.290385415432702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37.688217313754656</v>
      </c>
      <c r="AP6" s="13">
        <v>1</v>
      </c>
    </row>
    <row r="7" spans="1:42" ht="11.25" customHeight="1" x14ac:dyDescent="0.3">
      <c r="A7" s="92"/>
      <c r="B7" s="92"/>
      <c r="C7" s="92"/>
      <c r="D7" s="92"/>
      <c r="E7" s="92"/>
      <c r="F7" s="92"/>
      <c r="G7" s="24" t="s">
        <v>79</v>
      </c>
      <c r="H7" s="24" t="s">
        <v>72</v>
      </c>
      <c r="I7" s="24">
        <f>'MERCADO TUSD'!$U$4</f>
        <v>0</v>
      </c>
      <c r="J7" s="15"/>
      <c r="L7" s="13">
        <f>'TR TUSD'!$L$7*'TR TUSD'!$L$60</f>
        <v>0</v>
      </c>
      <c r="M7" s="13">
        <f>'TR TUSD'!$M$7*'TR TUSD'!$M$60</f>
        <v>0.86169513267244713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76.18258173497739</v>
      </c>
      <c r="R7" s="13">
        <f>'TR TUSD'!$R$7*'TR TUSD'!$R$60</f>
        <v>14.320818655945995</v>
      </c>
      <c r="S7" s="13">
        <f>'TR TUSD'!$S$7*'TR TUSD'!$S$60</f>
        <v>0</v>
      </c>
      <c r="T7" s="13">
        <f ca="1">SUM($L$7:$S$7)</f>
        <v>91.365095523595841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0.69469971303976286</v>
      </c>
      <c r="AI7" s="13">
        <f>'TR TUSD'!$AI$7*'TR TUSD'!$AI$60</f>
        <v>2.8074391257072517E-2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0.72277410429683542</v>
      </c>
      <c r="AM7" s="13">
        <f ca="1">SUMIF($L$4:$AL$4,"SUBTOTAL",$L$7:$AL$7)</f>
        <v>92.087869627892672</v>
      </c>
      <c r="AP7" s="13">
        <v>1</v>
      </c>
    </row>
    <row r="8" spans="1:42" ht="11.25" customHeight="1" x14ac:dyDescent="0.3">
      <c r="A8" s="92"/>
      <c r="B8" s="92"/>
      <c r="C8" s="92"/>
      <c r="D8" s="92"/>
      <c r="E8" s="23" t="s">
        <v>80</v>
      </c>
      <c r="F8" s="23" t="s">
        <v>25</v>
      </c>
      <c r="G8" s="24" t="s">
        <v>79</v>
      </c>
      <c r="H8" s="24" t="s">
        <v>72</v>
      </c>
      <c r="I8" s="24">
        <f>'MERCADO TUSD'!$U$5</f>
        <v>0</v>
      </c>
      <c r="J8" s="15"/>
      <c r="L8" s="13">
        <f>'TR TUSD'!$L$8*'TR TUSD'!$L$60</f>
        <v>0</v>
      </c>
      <c r="M8" s="13">
        <f>'TR TUSD'!$M$8*'TR TUSD'!$M$60</f>
        <v>0.86169513267244713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0.86169513267244713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0.69469971303976286</v>
      </c>
      <c r="AI8" s="13">
        <f>'TR TUSD'!$AI$8*'TR TUSD'!$AI$60</f>
        <v>2.8074391257072517E-2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0.72277410429683542</v>
      </c>
      <c r="AM8" s="13">
        <f ca="1">SUMIF($L$4:$AL$4,"SUBTOTAL",$L$8:$AL$8)</f>
        <v>1.5844692369692825</v>
      </c>
      <c r="AP8" s="13">
        <v>1</v>
      </c>
    </row>
    <row r="9" spans="1:42" ht="11.25" customHeight="1" x14ac:dyDescent="0.3">
      <c r="A9" s="92"/>
      <c r="B9" s="23" t="s">
        <v>81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76</v>
      </c>
      <c r="I9" s="24">
        <f>'MERCADO TUSD'!$U$6</f>
        <v>0</v>
      </c>
      <c r="J9" s="15"/>
      <c r="L9" s="13">
        <f>'TR TUSD'!$L$9*'TR TUSD'!$L$60</f>
        <v>0</v>
      </c>
      <c r="M9" s="13">
        <f>'TR TUSD'!$M$9*'TR TUSD'!$M$60</f>
        <v>1.0692893773715672E-2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1.0692893773715672E-2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10.536606969488627</v>
      </c>
      <c r="AD9" s="13">
        <f>SUM($AC$9:$AC$9)</f>
        <v>10.536606969488627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10.547299863262342</v>
      </c>
      <c r="AP9" s="13"/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24" t="s">
        <v>9</v>
      </c>
      <c r="H10" s="24" t="s">
        <v>76</v>
      </c>
      <c r="I10" s="24">
        <f>'MERCADO TUSD'!$U$7</f>
        <v>72477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14.397831898321954</v>
      </c>
      <c r="Z10" s="13">
        <f>'TR TUSD'!$Z$10</f>
        <v>0</v>
      </c>
      <c r="AA10" s="13">
        <f>'TR TUSD'!$AA$10</f>
        <v>0</v>
      </c>
      <c r="AB10" s="13">
        <f>SUM($U$10:$AA$10)</f>
        <v>14.397831898321954</v>
      </c>
      <c r="AC10" s="13">
        <f>'TR TUSD'!$AC$10*'TR TUSD'!$AC$60</f>
        <v>23.290385415432702</v>
      </c>
      <c r="AD10" s="13">
        <f>SUM($AC$10:$AC$10)</f>
        <v>23.290385415432702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37.688217313754656</v>
      </c>
      <c r="AP10" s="13">
        <v>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24" t="s">
        <v>73</v>
      </c>
      <c r="H11" s="24" t="s">
        <v>72</v>
      </c>
      <c r="I11" s="24">
        <f>'MERCADO TUSD'!$U$8</f>
        <v>1557.202</v>
      </c>
      <c r="J11" s="15"/>
      <c r="L11" s="13">
        <f>'TR TUSD'!$L$11*'TR TUSD'!$L$60</f>
        <v>0</v>
      </c>
      <c r="M11" s="13">
        <f>'TR TUSD'!$M$11*'TR TUSD'!$M$60</f>
        <v>0.86169513267244713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76.18258173497739</v>
      </c>
      <c r="R11" s="13">
        <f>'TR TUSD'!$R$11*'TR TUSD'!$R$60</f>
        <v>14.320818655945995</v>
      </c>
      <c r="S11" s="13">
        <f>'TR TUSD'!$S$11*'TR TUSD'!$S$60</f>
        <v>0</v>
      </c>
      <c r="T11" s="13">
        <f ca="1">SUM($L$11:$S$11)</f>
        <v>91.365095523595841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857.04509681884133</v>
      </c>
      <c r="Z11" s="13">
        <f>'TR TUSD'!$Z$11</f>
        <v>0</v>
      </c>
      <c r="AA11" s="13">
        <f>'TR TUSD'!$AA$11</f>
        <v>0</v>
      </c>
      <c r="AB11" s="13">
        <f>SUM($U$11:$AA$11)</f>
        <v>857.04509681884133</v>
      </c>
      <c r="AC11" s="13">
        <f>'TR TUSD'!$AC$11*'TR TUSD'!$AC$60</f>
        <v>2004.5350036959292</v>
      </c>
      <c r="AD11" s="13">
        <f>SUM($AC$11:$AC$11)</f>
        <v>2004.5350036959292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0.69469971303976286</v>
      </c>
      <c r="AI11" s="13">
        <f>'TR TUSD'!$AI$11*'TR TUSD'!$AI$60</f>
        <v>2.8074391257072517E-2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0.72277410429683542</v>
      </c>
      <c r="AM11" s="13">
        <f ca="1">SUMIF($L$4:$AL$4,"SUBTOTAL",$L$11:$AL$11)</f>
        <v>2953.6679701426633</v>
      </c>
      <c r="AP11" s="13">
        <v>1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24" t="s">
        <v>74</v>
      </c>
      <c r="H12" s="24" t="s">
        <v>72</v>
      </c>
      <c r="I12" s="24">
        <f>'MERCADO TUSD'!$U$9</f>
        <v>23427.474000000002</v>
      </c>
      <c r="J12" s="15"/>
      <c r="L12" s="13">
        <f>'TR TUSD'!$L$12*'TR TUSD'!$L$60</f>
        <v>0</v>
      </c>
      <c r="M12" s="13">
        <f>'TR TUSD'!$M$12*'TR TUSD'!$M$60</f>
        <v>0.86169513267244713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76.18258173497739</v>
      </c>
      <c r="R12" s="13">
        <f>'TR TUSD'!$R$12*'TR TUSD'!$R$60</f>
        <v>14.320818655945995</v>
      </c>
      <c r="S12" s="13">
        <f>'TR TUSD'!$S$12*'TR TUSD'!$S$60</f>
        <v>0</v>
      </c>
      <c r="T12" s="13">
        <f ca="1">SUM($L$12:$S$12)</f>
        <v>91.365095523595841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0.69469971303976286</v>
      </c>
      <c r="AI12" s="13">
        <f>'TR TUSD'!$AI$12*'TR TUSD'!$AI$60</f>
        <v>2.8074391257072517E-2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0.72277410429683542</v>
      </c>
      <c r="AM12" s="13">
        <f ca="1">SUMIF($L$4:$AL$4,"SUBTOTAL",$L$12:$AL$12)</f>
        <v>92.087869627892672</v>
      </c>
      <c r="AP12" s="13">
        <v>1</v>
      </c>
    </row>
    <row r="13" spans="1:42" ht="11.25" customHeight="1" x14ac:dyDescent="0.3">
      <c r="A13" s="92"/>
      <c r="B13" s="92"/>
      <c r="C13" s="92"/>
      <c r="D13" s="92"/>
      <c r="E13" s="92" t="s">
        <v>80</v>
      </c>
      <c r="F13" s="92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'TR TUSD'!$L$13*'TR TUSD'!$L$60</f>
        <v>0</v>
      </c>
      <c r="M13" s="13">
        <f>'TR TUSD'!$M$13*'TR TUSD'!$M$60</f>
        <v>0.86169513267244713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0.86169513267244713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857.04509681884133</v>
      </c>
      <c r="Z13" s="13">
        <f>'TR TUSD'!$Z$13</f>
        <v>0</v>
      </c>
      <c r="AA13" s="13">
        <f>'TR TUSD'!$AA$13</f>
        <v>0</v>
      </c>
      <c r="AB13" s="13">
        <f>SUM($U$13:$AA$13)</f>
        <v>857.04509681884133</v>
      </c>
      <c r="AC13" s="13">
        <f>'TR TUSD'!$AC$13*'TR TUSD'!$AC$60</f>
        <v>2004.5350036959292</v>
      </c>
      <c r="AD13" s="13">
        <f>SUM($AC$13:$AC$13)</f>
        <v>2004.5350036959292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0.69469971303976286</v>
      </c>
      <c r="AI13" s="13">
        <f>'TR TUSD'!$AI$13*'TR TUSD'!$AI$60</f>
        <v>2.8074391257072517E-2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0.72277410429683542</v>
      </c>
      <c r="AM13" s="13">
        <f ca="1">SUMIF($L$4:$AL$4,"SUBTOTAL",$L$13:$AL$13)</f>
        <v>2863.1645697517401</v>
      </c>
      <c r="AP13" s="13">
        <v>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24" t="s">
        <v>74</v>
      </c>
      <c r="H14" s="24" t="s">
        <v>72</v>
      </c>
      <c r="I14" s="24">
        <f>'MERCADO TUSD'!$U$11</f>
        <v>0</v>
      </c>
      <c r="J14" s="15"/>
      <c r="L14" s="13">
        <f>'TR TUSD'!$L$14*'TR TUSD'!$L$60</f>
        <v>0</v>
      </c>
      <c r="M14" s="13">
        <f>'TR TUSD'!$M$14*'TR TUSD'!$M$60</f>
        <v>0.86169513267244713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0.86169513267244713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0.69469971303976286</v>
      </c>
      <c r="AI14" s="13">
        <f>'TR TUSD'!$AI$14*'TR TUSD'!$AI$60</f>
        <v>2.8074391257072517E-2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0.72277410429683542</v>
      </c>
      <c r="AM14" s="13">
        <f ca="1">SUMIF($L$4:$AL$4,"SUBTOTAL",$L$14:$AL$14)</f>
        <v>1.5844692369692825</v>
      </c>
      <c r="AP14" s="13">
        <v>1</v>
      </c>
    </row>
    <row r="15" spans="1:42" ht="11.25" customHeight="1" x14ac:dyDescent="0.3">
      <c r="A15" s="92" t="s">
        <v>82</v>
      </c>
      <c r="B15" s="92" t="s">
        <v>81</v>
      </c>
      <c r="C15" s="92" t="s">
        <v>25</v>
      </c>
      <c r="D15" s="92" t="s">
        <v>25</v>
      </c>
      <c r="E15" s="23" t="s">
        <v>83</v>
      </c>
      <c r="F15" s="23" t="s">
        <v>25</v>
      </c>
      <c r="G15" s="24" t="s">
        <v>9</v>
      </c>
      <c r="H15" s="24" t="s">
        <v>76</v>
      </c>
      <c r="I15" s="24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1.0998405024393263E-2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1.0998405024393263E-2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10.868380014235782</v>
      </c>
      <c r="AD15" s="13">
        <f>SUM($AC$15:$AC$15)</f>
        <v>10.868380014235782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10.879378419260176</v>
      </c>
      <c r="AP15" s="13"/>
    </row>
    <row r="16" spans="1:42" ht="11.25" customHeight="1" x14ac:dyDescent="0.3">
      <c r="A16" s="92"/>
      <c r="B16" s="92"/>
      <c r="C16" s="92"/>
      <c r="D16" s="92"/>
      <c r="E16" s="23" t="s">
        <v>84</v>
      </c>
      <c r="F16" s="23" t="s">
        <v>25</v>
      </c>
      <c r="G16" s="24" t="s">
        <v>9</v>
      </c>
      <c r="H16" s="24" t="s">
        <v>76</v>
      </c>
      <c r="I16" s="24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1.0998405024393263E-2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1.0998405024393263E-2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22.112302966218859</v>
      </c>
      <c r="AD16" s="13">
        <f>SUM($AC$16:$AC$16)</f>
        <v>22.112302966218859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22.123301371243251</v>
      </c>
      <c r="AP16" s="13"/>
    </row>
    <row r="17" spans="1:42" ht="11.25" customHeight="1" x14ac:dyDescent="0.3">
      <c r="A17" s="92" t="s">
        <v>22</v>
      </c>
      <c r="B17" s="92" t="s">
        <v>40</v>
      </c>
      <c r="C17" s="92" t="s">
        <v>24</v>
      </c>
      <c r="D17" s="92" t="s">
        <v>24</v>
      </c>
      <c r="E17" s="92" t="s">
        <v>25</v>
      </c>
      <c r="F17" s="92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'TR TUSD'!$L$17*'TR TUSD'!$L$60</f>
        <v>0</v>
      </c>
      <c r="M17" s="13">
        <f>'TR TUSD'!$M$17*'TR TUSD'!$M$60</f>
        <v>1.5527539331035753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90.693549684496901</v>
      </c>
      <c r="R17" s="13">
        <f>'TR TUSD'!$R$17*'TR TUSD'!$R$60</f>
        <v>14.320818655945995</v>
      </c>
      <c r="S17" s="13">
        <f>'TR TUSD'!$S$17*'TR TUSD'!$S$60</f>
        <v>0</v>
      </c>
      <c r="T17" s="13">
        <f ca="1">SUM($L$17:$S$17)</f>
        <v>106.56712227354647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313.76991509293276</v>
      </c>
      <c r="Z17" s="13">
        <f>'TR TUSD'!$Z$17</f>
        <v>0</v>
      </c>
      <c r="AA17" s="13">
        <f>'TR TUSD'!$AA$17</f>
        <v>0</v>
      </c>
      <c r="AB17" s="13">
        <f>SUM($U$17:$AA$17)</f>
        <v>313.76991509293276</v>
      </c>
      <c r="AC17" s="13">
        <f>'TR TUSD'!$AC$17*'TR TUSD'!$AC$60</f>
        <v>936.57719364135551</v>
      </c>
      <c r="AD17" s="13">
        <f>SUM($AC$17:$AC$17)</f>
        <v>936.57719364135551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1.799162730160387</v>
      </c>
      <c r="AI17" s="13">
        <f>'TR TUSD'!$AI$17*'TR TUSD'!$AI$60</f>
        <v>7.2708247136953119E-2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1.8718709772973401</v>
      </c>
      <c r="AM17" s="13">
        <f ca="1">SUMIF($L$4:$AL$4,"SUBTOTAL",$L$17:$AL$17)</f>
        <v>1358.7861019851321</v>
      </c>
      <c r="AP17" s="13">
        <v>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24" t="s">
        <v>85</v>
      </c>
      <c r="H18" s="24" t="s">
        <v>72</v>
      </c>
      <c r="I18" s="24">
        <f>'MERCADO TUSD'!$U$15</f>
        <v>0</v>
      </c>
      <c r="J18" s="15"/>
      <c r="L18" s="13">
        <f>'TR TUSD'!$L$18*'TR TUSD'!$L$60</f>
        <v>0</v>
      </c>
      <c r="M18" s="13">
        <f>'TR TUSD'!$M$18*'TR TUSD'!$M$60</f>
        <v>1.5527539331035753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90.693549684496901</v>
      </c>
      <c r="R18" s="13">
        <f>'TR TUSD'!$R$18*'TR TUSD'!$R$60</f>
        <v>14.320818655945995</v>
      </c>
      <c r="S18" s="13">
        <f>'TR TUSD'!$S$18*'TR TUSD'!$S$60</f>
        <v>0</v>
      </c>
      <c r="T18" s="13">
        <f ca="1">SUM($L$18:$S$18)</f>
        <v>106.56712227354647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188.26205309855297</v>
      </c>
      <c r="Z18" s="13">
        <f>'TR TUSD'!$Z$18</f>
        <v>0</v>
      </c>
      <c r="AA18" s="13">
        <f>'TR TUSD'!$AA$18</f>
        <v>0</v>
      </c>
      <c r="AB18" s="13">
        <f>SUM($U$18:$AA$18)</f>
        <v>188.26205309855297</v>
      </c>
      <c r="AC18" s="13">
        <f>'TR TUSD'!$AC$18*'TR TUSD'!$AC$60</f>
        <v>561.94656316226587</v>
      </c>
      <c r="AD18" s="13">
        <f>SUM($AC$18:$AC$18)</f>
        <v>561.94656316226587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1.799162730160387</v>
      </c>
      <c r="AI18" s="13">
        <f>'TR TUSD'!$AI$18*'TR TUSD'!$AI$60</f>
        <v>7.2708247136953119E-2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1.8718709772973401</v>
      </c>
      <c r="AM18" s="13">
        <f ca="1">SUMIF($L$4:$AL$4,"SUBTOTAL",$L$18:$AL$18)</f>
        <v>858.64760951166261</v>
      </c>
      <c r="AP18" s="13">
        <v>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24" t="s">
        <v>74</v>
      </c>
      <c r="H19" s="24" t="s">
        <v>72</v>
      </c>
      <c r="I19" s="24">
        <f>'MERCADO TUSD'!$U$16</f>
        <v>0</v>
      </c>
      <c r="J19" s="15"/>
      <c r="L19" s="13">
        <f>'TR TUSD'!$L$19*'TR TUSD'!$L$60</f>
        <v>0</v>
      </c>
      <c r="M19" s="13">
        <f>'TR TUSD'!$M$19*'TR TUSD'!$M$60</f>
        <v>1.5527539331035753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90.693549684496901</v>
      </c>
      <c r="R19" s="13">
        <f>'TR TUSD'!$R$19*'TR TUSD'!$R$60</f>
        <v>14.320818655945995</v>
      </c>
      <c r="S19" s="13">
        <f>'TR TUSD'!$S$19*'TR TUSD'!$S$60</f>
        <v>0</v>
      </c>
      <c r="T19" s="13">
        <f ca="1">SUM($L$19:$S$19)</f>
        <v>106.56712227354647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62.811284587000486</v>
      </c>
      <c r="Z19" s="13">
        <f>'TR TUSD'!$Z$19</f>
        <v>0</v>
      </c>
      <c r="AA19" s="13">
        <f>'TR TUSD'!$AA$19</f>
        <v>0</v>
      </c>
      <c r="AB19" s="13">
        <f>SUM($U$19:$AA$19)</f>
        <v>62.811284587000486</v>
      </c>
      <c r="AC19" s="13">
        <f>'TR TUSD'!$AC$19*'TR TUSD'!$AC$60</f>
        <v>187.31524663469682</v>
      </c>
      <c r="AD19" s="13">
        <f>SUM($AC$19:$AC$19)</f>
        <v>187.31524663469682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1.799162730160387</v>
      </c>
      <c r="AI19" s="13">
        <f>'TR TUSD'!$AI$19*'TR TUSD'!$AI$60</f>
        <v>7.2708247136953119E-2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1.8718709772973401</v>
      </c>
      <c r="AM19" s="13">
        <f ca="1">SUMIF($L$4:$AL$4,"SUBTOTAL",$L$19:$AL$19)</f>
        <v>358.56552447254114</v>
      </c>
      <c r="AP19" s="13">
        <v>1</v>
      </c>
    </row>
    <row r="20" spans="1:42" ht="11.25" customHeight="1" x14ac:dyDescent="0.3">
      <c r="A20" s="92"/>
      <c r="B20" s="92" t="s">
        <v>23</v>
      </c>
      <c r="C20" s="92" t="s">
        <v>24</v>
      </c>
      <c r="D20" s="23" t="s">
        <v>24</v>
      </c>
      <c r="E20" s="23" t="s">
        <v>25</v>
      </c>
      <c r="F20" s="23" t="s">
        <v>25</v>
      </c>
      <c r="G20" s="24" t="s">
        <v>79</v>
      </c>
      <c r="H20" s="24" t="s">
        <v>72</v>
      </c>
      <c r="I20" s="24">
        <f>'MERCADO TUSD'!$U$17</f>
        <v>5913.8329999999996</v>
      </c>
      <c r="J20" s="15"/>
      <c r="L20" s="13">
        <f>'TR TUSD'!$L$20*'TR TUSD'!$L$60</f>
        <v>0</v>
      </c>
      <c r="M20" s="13">
        <f>'TR TUSD'!$M$20*'TR TUSD'!$M$60</f>
        <v>1.5527539331035753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90.693549684496901</v>
      </c>
      <c r="R20" s="13">
        <f>'TR TUSD'!$R$20*'TR TUSD'!$R$60</f>
        <v>14.320818655945995</v>
      </c>
      <c r="S20" s="13">
        <f>'TR TUSD'!$S$20*'TR TUSD'!$S$60</f>
        <v>0</v>
      </c>
      <c r="T20" s="13">
        <f ca="1">SUM($L$20:$S$20)</f>
        <v>106.56712227354647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116.15805637383041</v>
      </c>
      <c r="Z20" s="13">
        <f>'TR TUSD'!$Z$20</f>
        <v>0</v>
      </c>
      <c r="AA20" s="13">
        <f>'TR TUSD'!$AA$20</f>
        <v>0</v>
      </c>
      <c r="AB20" s="13">
        <f>SUM($U$20:$AA$20)</f>
        <v>116.15805637383041</v>
      </c>
      <c r="AC20" s="13">
        <f>'TR TUSD'!$AC$20*'TR TUSD'!$AC$60</f>
        <v>346.88051831699977</v>
      </c>
      <c r="AD20" s="13">
        <f>SUM($AC$20:$AC$20)</f>
        <v>346.88051831699977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1.799162730160387</v>
      </c>
      <c r="AI20" s="13">
        <f>'TR TUSD'!$AI$20*'TR TUSD'!$AI$60</f>
        <v>7.2708247136953119E-2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1.8718709772973401</v>
      </c>
      <c r="AM20" s="13">
        <f ca="1">SUMIF($L$4:$AL$4,"SUBTOTAL",$L$20:$AL$20)</f>
        <v>571.47756794167401</v>
      </c>
      <c r="AP20" s="13">
        <v>1</v>
      </c>
    </row>
    <row r="21" spans="1:42" ht="11.25" customHeight="1" x14ac:dyDescent="0.3">
      <c r="A21" s="92"/>
      <c r="B21" s="92"/>
      <c r="C21" s="92"/>
      <c r="D21" s="23" t="s">
        <v>29</v>
      </c>
      <c r="E21" s="23" t="s">
        <v>25</v>
      </c>
      <c r="F21" s="23" t="s">
        <v>25</v>
      </c>
      <c r="G21" s="24" t="s">
        <v>79</v>
      </c>
      <c r="H21" s="24" t="s">
        <v>72</v>
      </c>
      <c r="I21" s="24">
        <f>'MERCADO TUSD'!$U$18</f>
        <v>78.629000000000005</v>
      </c>
      <c r="J21" s="15"/>
      <c r="L21" s="13">
        <f>'TR TUSD'!$L$21*'TR TUSD'!$L$60</f>
        <v>0</v>
      </c>
      <c r="M21" s="13">
        <f>'TR TUSD'!$M$21*'TR TUSD'!$M$60</f>
        <v>1.5527539331035753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1.5527539331035753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116.15805637383041</v>
      </c>
      <c r="Z21" s="13">
        <f>'TR TUSD'!$Z$21</f>
        <v>0</v>
      </c>
      <c r="AA21" s="13">
        <f>'TR TUSD'!$AA$21</f>
        <v>0</v>
      </c>
      <c r="AB21" s="13">
        <f>SUM($U$21:$AA$21)</f>
        <v>116.15805637383041</v>
      </c>
      <c r="AC21" s="13">
        <f>'TR TUSD'!$AC$21*'TR TUSD'!$AC$60</f>
        <v>346.88051831699977</v>
      </c>
      <c r="AD21" s="13">
        <f>SUM($AC$21:$AC$21)</f>
        <v>346.88051831699977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1.799162730160387</v>
      </c>
      <c r="AI21" s="13">
        <f>'TR TUSD'!$AI$21*'TR TUSD'!$AI$60</f>
        <v>7.2708247136953119E-2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1.8718709772973401</v>
      </c>
      <c r="AM21" s="13">
        <f ca="1">SUMIF($L$4:$AL$4,"SUBTOTAL",$L$21:$AL$21)</f>
        <v>466.46319960123111</v>
      </c>
      <c r="AP21" s="13">
        <f>IF((1 - CUSTOS!$M$24)&lt;&gt;0,1/(1 - CUSTOS!$M$24),1)</f>
        <v>1</v>
      </c>
    </row>
    <row r="22" spans="1:42" ht="11.25" customHeight="1" x14ac:dyDescent="0.3">
      <c r="A22" s="92"/>
      <c r="B22" s="92"/>
      <c r="C22" s="92"/>
      <c r="D22" s="23" t="s">
        <v>30</v>
      </c>
      <c r="E22" s="23" t="s">
        <v>25</v>
      </c>
      <c r="F22" s="23" t="s">
        <v>25</v>
      </c>
      <c r="G22" s="24" t="s">
        <v>79</v>
      </c>
      <c r="H22" s="24" t="s">
        <v>72</v>
      </c>
      <c r="I22" s="24">
        <f>'MERCADO TUSD'!$U$19</f>
        <v>159.86900000000003</v>
      </c>
      <c r="J22" s="15"/>
      <c r="L22" s="13">
        <f>'TR TUSD'!$L$22*'TR TUSD'!$L$60</f>
        <v>0</v>
      </c>
      <c r="M22" s="13">
        <f>'TR TUSD'!$M$22*'TR TUSD'!$M$60</f>
        <v>1.5527539331035753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1.5527539331035753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116.15805637383041</v>
      </c>
      <c r="Z22" s="13">
        <f>'TR TUSD'!$Z$22</f>
        <v>0</v>
      </c>
      <c r="AA22" s="13">
        <f>'TR TUSD'!$AA$22</f>
        <v>0</v>
      </c>
      <c r="AB22" s="13">
        <f>SUM($U$22:$AA$22)</f>
        <v>116.15805637383041</v>
      </c>
      <c r="AC22" s="13">
        <f>'TR TUSD'!$AC$22*'TR TUSD'!$AC$60</f>
        <v>346.88051831699977</v>
      </c>
      <c r="AD22" s="13">
        <f>SUM($AC$22:$AC$22)</f>
        <v>346.88051831699977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1.799162730160387</v>
      </c>
      <c r="AI22" s="13">
        <f>'TR TUSD'!$AI$22*'TR TUSD'!$AI$60</f>
        <v>7.2708247136953119E-2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1.8718709772973401</v>
      </c>
      <c r="AM22" s="13">
        <f ca="1">SUMIF($L$4:$AL$4,"SUBTOTAL",$L$22:$AL$22)</f>
        <v>466.46319960123111</v>
      </c>
      <c r="AP22" s="13">
        <f>IF((1 - CUSTOS!$M$25)&lt;&gt;0,1/(1 - CUSTOS!$M$25),1)</f>
        <v>1</v>
      </c>
    </row>
    <row r="23" spans="1:42" ht="11.25" customHeight="1" x14ac:dyDescent="0.3">
      <c r="A23" s="92"/>
      <c r="B23" s="92"/>
      <c r="C23" s="92"/>
      <c r="D23" s="23" t="s">
        <v>31</v>
      </c>
      <c r="E23" s="23" t="s">
        <v>25</v>
      </c>
      <c r="F23" s="23" t="s">
        <v>25</v>
      </c>
      <c r="G23" s="24" t="s">
        <v>79</v>
      </c>
      <c r="H23" s="24" t="s">
        <v>72</v>
      </c>
      <c r="I23" s="24">
        <f>'MERCADO TUSD'!$U$20</f>
        <v>149.93899999999999</v>
      </c>
      <c r="J23" s="15"/>
      <c r="L23" s="13">
        <f>'TR TUSD'!$L$23*'TR TUSD'!$L$60</f>
        <v>0</v>
      </c>
      <c r="M23" s="13">
        <f>'TR TUSD'!$M$23*'TR TUSD'!$M$60</f>
        <v>1.5527539331035753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1.5527539331035753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116.15805637383041</v>
      </c>
      <c r="Z23" s="13">
        <f>'TR TUSD'!$Z$23</f>
        <v>0</v>
      </c>
      <c r="AA23" s="13">
        <f>'TR TUSD'!$AA$23</f>
        <v>0</v>
      </c>
      <c r="AB23" s="13">
        <f>SUM($U$23:$AA$23)</f>
        <v>116.15805637383041</v>
      </c>
      <c r="AC23" s="13">
        <f>'TR TUSD'!$AC$23*'TR TUSD'!$AC$60</f>
        <v>346.88051831699977</v>
      </c>
      <c r="AD23" s="13">
        <f>SUM($AC$23:$AC$23)</f>
        <v>346.88051831699977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1.799162730160387</v>
      </c>
      <c r="AI23" s="13">
        <f>'TR TUSD'!$AI$23*'TR TUSD'!$AI$60</f>
        <v>7.2708247136953119E-2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1.8718709772973401</v>
      </c>
      <c r="AM23" s="13">
        <f ca="1">SUMIF($L$4:$AL$4,"SUBTOTAL",$L$23:$AL$23)</f>
        <v>466.46319960123111</v>
      </c>
      <c r="AP23" s="13">
        <f>IF((1 - CUSTOS!$M$26)&lt;&gt;0,1/(1 - CUSTOS!$M$26),1)</f>
        <v>1</v>
      </c>
    </row>
    <row r="24" spans="1:42" ht="11.25" customHeight="1" x14ac:dyDescent="0.3">
      <c r="A24" s="92"/>
      <c r="B24" s="92"/>
      <c r="C24" s="92"/>
      <c r="D24" s="23" t="s">
        <v>32</v>
      </c>
      <c r="E24" s="23" t="s">
        <v>25</v>
      </c>
      <c r="F24" s="23" t="s">
        <v>25</v>
      </c>
      <c r="G24" s="24" t="s">
        <v>79</v>
      </c>
      <c r="H24" s="24" t="s">
        <v>72</v>
      </c>
      <c r="I24" s="24">
        <f>'MERCADO TUSD'!$U$21</f>
        <v>50.329000000000001</v>
      </c>
      <c r="J24" s="15"/>
      <c r="L24" s="13">
        <f>'TR TUSD'!$L$24*'TR TUSD'!$L$60</f>
        <v>0</v>
      </c>
      <c r="M24" s="13">
        <f>'TR TUSD'!$M$24*'TR TUSD'!$M$60</f>
        <v>1.5527539331035753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1.5527539331035753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116.15805637383041</v>
      </c>
      <c r="Z24" s="13">
        <f>'TR TUSD'!$Z$24</f>
        <v>0</v>
      </c>
      <c r="AA24" s="13">
        <f>'TR TUSD'!$AA$24</f>
        <v>0</v>
      </c>
      <c r="AB24" s="13">
        <f>SUM($U$24:$AA$24)</f>
        <v>116.15805637383041</v>
      </c>
      <c r="AC24" s="13">
        <f>'TR TUSD'!$AC$24*'TR TUSD'!$AC$60</f>
        <v>346.88051831699977</v>
      </c>
      <c r="AD24" s="13">
        <f>SUM($AC$24:$AC$24)</f>
        <v>346.88051831699977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1.799162730160387</v>
      </c>
      <c r="AI24" s="13">
        <f>'TR TUSD'!$AI$24*'TR TUSD'!$AI$60</f>
        <v>7.2708247136953119E-2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1.8718709772973401</v>
      </c>
      <c r="AM24" s="13">
        <f ca="1">SUMIF($L$4:$AL$4,"SUBTOTAL",$L$24:$AL$24)</f>
        <v>466.46319960123111</v>
      </c>
      <c r="AP24" s="13">
        <f>IF((1 - CUSTOS!$M$27)&lt;&gt;0,1/(1 - CUSTOS!$M$27),1)</f>
        <v>1</v>
      </c>
    </row>
    <row r="25" spans="1:42" ht="11.25" customHeight="1" x14ac:dyDescent="0.3">
      <c r="A25" s="92"/>
      <c r="B25" s="92" t="s">
        <v>88</v>
      </c>
      <c r="C25" s="92" t="s">
        <v>24</v>
      </c>
      <c r="D25" s="23" t="s">
        <v>24</v>
      </c>
      <c r="E25" s="23" t="s">
        <v>25</v>
      </c>
      <c r="F25" s="23" t="s">
        <v>25</v>
      </c>
      <c r="G25" s="24" t="s">
        <v>79</v>
      </c>
      <c r="H25" s="24" t="s">
        <v>72</v>
      </c>
      <c r="I25" s="24">
        <f>'MERCADO TUSD'!$U$22</f>
        <v>0</v>
      </c>
      <c r="J25" s="15"/>
      <c r="L25" s="13">
        <f>'TR TUSD'!$L$25*'TR TUSD'!$L$60</f>
        <v>0</v>
      </c>
      <c r="M25" s="13">
        <f>'TR TUSD'!$M$25*'TR TUSD'!$M$60</f>
        <v>1.5527539331035753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90.693549684496901</v>
      </c>
      <c r="R25" s="13">
        <f>'TR TUSD'!$R$25*'TR TUSD'!$R$60</f>
        <v>14.320818655945995</v>
      </c>
      <c r="S25" s="13">
        <f>'TR TUSD'!$S$25*'TR TUSD'!$S$60</f>
        <v>0</v>
      </c>
      <c r="T25" s="13">
        <f ca="1">SUM($L$25:$S$25)</f>
        <v>106.56712227354647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116.15805637383041</v>
      </c>
      <c r="Z25" s="13">
        <f>'TR TUSD'!$Z$25</f>
        <v>0</v>
      </c>
      <c r="AA25" s="13">
        <f>'TR TUSD'!$AA$25</f>
        <v>0</v>
      </c>
      <c r="AB25" s="13">
        <f>SUM($U$25:$AA$25)</f>
        <v>116.15805637383041</v>
      </c>
      <c r="AC25" s="13">
        <f>'TR TUSD'!$AC$25*'TR TUSD'!$AC$60</f>
        <v>346.88051831699977</v>
      </c>
      <c r="AD25" s="13">
        <f>SUM($AC$25:$AC$25)</f>
        <v>346.88051831699977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1.799162730160387</v>
      </c>
      <c r="AI25" s="13">
        <f>'TR TUSD'!$AI$25*'TR TUSD'!$AI$60</f>
        <v>7.2708247136953119E-2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1.8718709772973401</v>
      </c>
      <c r="AM25" s="13">
        <f ca="1">SUMIF($L$4:$AL$4,"SUBTOTAL",$L$25:$AL$25)</f>
        <v>571.47756794167401</v>
      </c>
      <c r="AP25" s="13">
        <v>1</v>
      </c>
    </row>
    <row r="26" spans="1:42" ht="11.25" customHeight="1" x14ac:dyDescent="0.3">
      <c r="A26" s="92"/>
      <c r="B26" s="92"/>
      <c r="C26" s="92"/>
      <c r="D26" s="23" t="s">
        <v>29</v>
      </c>
      <c r="E26" s="23" t="s">
        <v>25</v>
      </c>
      <c r="F26" s="23" t="s">
        <v>25</v>
      </c>
      <c r="G26" s="24" t="s">
        <v>79</v>
      </c>
      <c r="H26" s="24" t="s">
        <v>72</v>
      </c>
      <c r="I26" s="24">
        <f>'MERCADO TUSD'!$U$23</f>
        <v>0</v>
      </c>
      <c r="J26" s="15"/>
      <c r="L26" s="13">
        <f>'TR TUSD'!$L$26*'TR TUSD'!$L$60</f>
        <v>0</v>
      </c>
      <c r="M26" s="13">
        <f>'TR TUSD'!$M$26*'TR TUSD'!$M$60</f>
        <v>1.5527539331035753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1.5527539331035753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116.15805637383041</v>
      </c>
      <c r="Z26" s="13">
        <f>'TR TUSD'!$Z$26</f>
        <v>0</v>
      </c>
      <c r="AA26" s="13">
        <f>'TR TUSD'!$AA$26</f>
        <v>0</v>
      </c>
      <c r="AB26" s="13">
        <f>SUM($U$26:$AA$26)</f>
        <v>116.15805637383041</v>
      </c>
      <c r="AC26" s="13">
        <f>'TR TUSD'!$AC$26*'TR TUSD'!$AC$60</f>
        <v>346.88051831699977</v>
      </c>
      <c r="AD26" s="13">
        <f>SUM($AC$26:$AC$26)</f>
        <v>346.88051831699977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1.799162730160387</v>
      </c>
      <c r="AI26" s="13">
        <f>'TR TUSD'!$AI$26*'TR TUSD'!$AI$60</f>
        <v>7.2708247136953119E-2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1.8718709772973401</v>
      </c>
      <c r="AM26" s="13">
        <f ca="1">SUMIF($L$4:$AL$4,"SUBTOTAL",$L$26:$AL$26)</f>
        <v>466.46319960123111</v>
      </c>
      <c r="AP26" s="13">
        <f>IF((1 - CUSTOS!$M$24)&lt;&gt;0,1/(1 - CUSTOS!$M$24),1)</f>
        <v>1</v>
      </c>
    </row>
    <row r="27" spans="1:42" ht="11.25" customHeight="1" x14ac:dyDescent="0.3">
      <c r="A27" s="92"/>
      <c r="B27" s="92"/>
      <c r="C27" s="92"/>
      <c r="D27" s="23" t="s">
        <v>30</v>
      </c>
      <c r="E27" s="23" t="s">
        <v>25</v>
      </c>
      <c r="F27" s="23" t="s">
        <v>25</v>
      </c>
      <c r="G27" s="24" t="s">
        <v>79</v>
      </c>
      <c r="H27" s="24" t="s">
        <v>72</v>
      </c>
      <c r="I27" s="24">
        <f>'MERCADO TUSD'!$U$24</f>
        <v>0</v>
      </c>
      <c r="J27" s="15"/>
      <c r="L27" s="13">
        <f>'TR TUSD'!$L$27*'TR TUSD'!$L$60</f>
        <v>0</v>
      </c>
      <c r="M27" s="13">
        <f>'TR TUSD'!$M$27*'TR TUSD'!$M$60</f>
        <v>1.5527539331035753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1.5527539331035753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116.15805637383041</v>
      </c>
      <c r="Z27" s="13">
        <f>'TR TUSD'!$Z$27</f>
        <v>0</v>
      </c>
      <c r="AA27" s="13">
        <f>'TR TUSD'!$AA$27</f>
        <v>0</v>
      </c>
      <c r="AB27" s="13">
        <f>SUM($U$27:$AA$27)</f>
        <v>116.15805637383041</v>
      </c>
      <c r="AC27" s="13">
        <f>'TR TUSD'!$AC$27*'TR TUSD'!$AC$60</f>
        <v>346.88051831699977</v>
      </c>
      <c r="AD27" s="13">
        <f>SUM($AC$27:$AC$27)</f>
        <v>346.88051831699977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1.799162730160387</v>
      </c>
      <c r="AI27" s="13">
        <f>'TR TUSD'!$AI$27*'TR TUSD'!$AI$60</f>
        <v>7.2708247136953119E-2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1.8718709772973401</v>
      </c>
      <c r="AM27" s="13">
        <f ca="1">SUMIF($L$4:$AL$4,"SUBTOTAL",$L$27:$AL$27)</f>
        <v>466.46319960123111</v>
      </c>
      <c r="AP27" s="13">
        <f>IF((1 - CUSTOS!$M$25)&lt;&gt;0,1/(1 - CUSTOS!$M$25),1)</f>
        <v>1</v>
      </c>
    </row>
    <row r="28" spans="1:42" ht="11.25" customHeight="1" x14ac:dyDescent="0.3">
      <c r="A28" s="92"/>
      <c r="B28" s="92"/>
      <c r="C28" s="92"/>
      <c r="D28" s="23" t="s">
        <v>31</v>
      </c>
      <c r="E28" s="23" t="s">
        <v>25</v>
      </c>
      <c r="F28" s="23" t="s">
        <v>25</v>
      </c>
      <c r="G28" s="24" t="s">
        <v>79</v>
      </c>
      <c r="H28" s="24" t="s">
        <v>72</v>
      </c>
      <c r="I28" s="24">
        <f>'MERCADO TUSD'!$U$25</f>
        <v>0</v>
      </c>
      <c r="J28" s="15"/>
      <c r="L28" s="13">
        <f>'TR TUSD'!$L$28*'TR TUSD'!$L$60</f>
        <v>0</v>
      </c>
      <c r="M28" s="13">
        <f>'TR TUSD'!$M$28*'TR TUSD'!$M$60</f>
        <v>1.5527539331035753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1.5527539331035753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116.15805637383041</v>
      </c>
      <c r="Z28" s="13">
        <f>'TR TUSD'!$Z$28</f>
        <v>0</v>
      </c>
      <c r="AA28" s="13">
        <f>'TR TUSD'!$AA$28</f>
        <v>0</v>
      </c>
      <c r="AB28" s="13">
        <f>SUM($U$28:$AA$28)</f>
        <v>116.15805637383041</v>
      </c>
      <c r="AC28" s="13">
        <f>'TR TUSD'!$AC$28*'TR TUSD'!$AC$60</f>
        <v>346.88051831699977</v>
      </c>
      <c r="AD28" s="13">
        <f>SUM($AC$28:$AC$28)</f>
        <v>346.88051831699977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1.799162730160387</v>
      </c>
      <c r="AI28" s="13">
        <f>'TR TUSD'!$AI$28*'TR TUSD'!$AI$60</f>
        <v>7.2708247136953119E-2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1.8718709772973401</v>
      </c>
      <c r="AM28" s="13">
        <f ca="1">SUMIF($L$4:$AL$4,"SUBTOTAL",$L$28:$AL$28)</f>
        <v>466.46319960123111</v>
      </c>
      <c r="AP28" s="13">
        <f>IF((1 - CUSTOS!$M$26)&lt;&gt;0,1/(1 - CUSTOS!$M$26),1)</f>
        <v>1</v>
      </c>
    </row>
    <row r="29" spans="1:42" ht="11.25" customHeight="1" x14ac:dyDescent="0.3">
      <c r="A29" s="92"/>
      <c r="B29" s="92"/>
      <c r="C29" s="92"/>
      <c r="D29" s="23" t="s">
        <v>32</v>
      </c>
      <c r="E29" s="23" t="s">
        <v>25</v>
      </c>
      <c r="F29" s="23" t="s">
        <v>25</v>
      </c>
      <c r="G29" s="24" t="s">
        <v>79</v>
      </c>
      <c r="H29" s="24" t="s">
        <v>72</v>
      </c>
      <c r="I29" s="24">
        <f>'MERCADO TUSD'!$U$26</f>
        <v>0</v>
      </c>
      <c r="J29" s="15"/>
      <c r="L29" s="13">
        <f>'TR TUSD'!$L$29*'TR TUSD'!$L$60</f>
        <v>0</v>
      </c>
      <c r="M29" s="13">
        <f>'TR TUSD'!$M$29*'TR TUSD'!$M$60</f>
        <v>1.5527539331035753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1.5527539331035753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116.15805637383041</v>
      </c>
      <c r="Z29" s="13">
        <f>'TR TUSD'!$Z$29</f>
        <v>0</v>
      </c>
      <c r="AA29" s="13">
        <f>'TR TUSD'!$AA$29</f>
        <v>0</v>
      </c>
      <c r="AB29" s="13">
        <f>SUM($U$29:$AA$29)</f>
        <v>116.15805637383041</v>
      </c>
      <c r="AC29" s="13">
        <f>'TR TUSD'!$AC$29*'TR TUSD'!$AC$60</f>
        <v>346.88051831699977</v>
      </c>
      <c r="AD29" s="13">
        <f>SUM($AC$29:$AC$29)</f>
        <v>346.88051831699977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1.799162730160387</v>
      </c>
      <c r="AI29" s="13">
        <f>'TR TUSD'!$AI$29*'TR TUSD'!$AI$60</f>
        <v>7.2708247136953119E-2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1.8718709772973401</v>
      </c>
      <c r="AM29" s="13">
        <f ca="1">SUMIF($L$4:$AL$4,"SUBTOTAL",$L$29:$AL$29)</f>
        <v>466.46319960123111</v>
      </c>
      <c r="AP29" s="13">
        <f>IF((1 - CUSTOS!$M$27)&lt;&gt;0,1/(1 - CUSTOS!$M$27),1)</f>
        <v>1</v>
      </c>
    </row>
    <row r="30" spans="1:42" ht="11.25" customHeight="1" x14ac:dyDescent="0.3">
      <c r="A30" s="92" t="s">
        <v>42</v>
      </c>
      <c r="B30" s="92" t="s">
        <v>40</v>
      </c>
      <c r="C30" s="92" t="s">
        <v>43</v>
      </c>
      <c r="D30" s="92" t="s">
        <v>25</v>
      </c>
      <c r="E30" s="92" t="s">
        <v>25</v>
      </c>
      <c r="F30" s="92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'TR TUSD'!$L$30*'TR TUSD'!$L$60</f>
        <v>0</v>
      </c>
      <c r="M30" s="13">
        <f>'TR TUSD'!$M$30*'TR TUSD'!$M$60</f>
        <v>1.5527539331035753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90.693549684496901</v>
      </c>
      <c r="R30" s="13">
        <f>'TR TUSD'!$R$30*'TR TUSD'!$R$60</f>
        <v>14.320818655945995</v>
      </c>
      <c r="S30" s="13">
        <f>'TR TUSD'!$S$30*'TR TUSD'!$S$60</f>
        <v>0</v>
      </c>
      <c r="T30" s="13">
        <f ca="1">SUM($L$30:$S$30)</f>
        <v>106.56712227354647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342.68041612268945</v>
      </c>
      <c r="Z30" s="13">
        <f>'TR TUSD'!$Z$30</f>
        <v>0</v>
      </c>
      <c r="AA30" s="13">
        <f>'TR TUSD'!$AA$30</f>
        <v>0</v>
      </c>
      <c r="AB30" s="13">
        <f>SUM($U$30:$AA$30)</f>
        <v>342.68041612268945</v>
      </c>
      <c r="AC30" s="13">
        <f>'TR TUSD'!$AC$30*'TR TUSD'!$AC$60</f>
        <v>1023.2974261278773</v>
      </c>
      <c r="AD30" s="13">
        <f>SUM($AC$30:$AC$30)</f>
        <v>1023.2974261278773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1.799162730160387</v>
      </c>
      <c r="AI30" s="13">
        <f>'TR TUSD'!$AI$30*'TR TUSD'!$AI$60</f>
        <v>7.2708247136953119E-2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1.8718709772973401</v>
      </c>
      <c r="AM30" s="13">
        <f ca="1">SUMIF($L$4:$AL$4,"SUBTOTAL",$L$30:$AL$30)</f>
        <v>1474.4168355014106</v>
      </c>
      <c r="AP30" s="13">
        <f>IF((1 - CUSTOS!$M$28)&lt;&gt;0,1/(1 - CUSTOS!$M$28),1)</f>
        <v>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24" t="s">
        <v>85</v>
      </c>
      <c r="H31" s="24" t="s">
        <v>72</v>
      </c>
      <c r="I31" s="24">
        <f>'MERCADO TUSD'!$U$28</f>
        <v>0</v>
      </c>
      <c r="J31" s="15"/>
      <c r="L31" s="13">
        <f>'TR TUSD'!$L$31*'TR TUSD'!$L$60</f>
        <v>0</v>
      </c>
      <c r="M31" s="13">
        <f>'TR TUSD'!$M$31*'TR TUSD'!$M$60</f>
        <v>1.5527539331035753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90.693549684496901</v>
      </c>
      <c r="R31" s="13">
        <f>'TR TUSD'!$R$31*'TR TUSD'!$R$60</f>
        <v>14.320818655945995</v>
      </c>
      <c r="S31" s="13">
        <f>'TR TUSD'!$S$31*'TR TUSD'!$S$60</f>
        <v>0</v>
      </c>
      <c r="T31" s="13">
        <f ca="1">SUM($L$31:$S$31)</f>
        <v>106.56712227354647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205.58530823768942</v>
      </c>
      <c r="Z31" s="13">
        <f>'TR TUSD'!$Z$31</f>
        <v>0</v>
      </c>
      <c r="AA31" s="13">
        <f>'TR TUSD'!$AA$31</f>
        <v>0</v>
      </c>
      <c r="AB31" s="13">
        <f>SUM($U$31:$AA$31)</f>
        <v>205.58530823768942</v>
      </c>
      <c r="AC31" s="13">
        <f>'TR TUSD'!$AC$31*'TR TUSD'!$AC$60</f>
        <v>613.97826358315217</v>
      </c>
      <c r="AD31" s="13">
        <f>SUM($AC$31:$AC$31)</f>
        <v>613.97826358315217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1.799162730160387</v>
      </c>
      <c r="AI31" s="13">
        <f>'TR TUSD'!$AI$31*'TR TUSD'!$AI$60</f>
        <v>7.2708247136953119E-2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1.8718709772973401</v>
      </c>
      <c r="AM31" s="13">
        <f ca="1">SUMIF($L$4:$AL$4,"SUBTOTAL",$L$31:$AL$31)</f>
        <v>928.00256507168535</v>
      </c>
      <c r="AP31" s="13">
        <f>IF((1 - CUSTOS!$M$28)&lt;&gt;0,1/(1 - CUSTOS!$M$28),1)</f>
        <v>1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24" t="s">
        <v>74</v>
      </c>
      <c r="H32" s="24" t="s">
        <v>72</v>
      </c>
      <c r="I32" s="24">
        <f>'MERCADO TUSD'!$U$29</f>
        <v>0</v>
      </c>
      <c r="J32" s="15"/>
      <c r="L32" s="13">
        <f>'TR TUSD'!$L$32*'TR TUSD'!$L$60</f>
        <v>0</v>
      </c>
      <c r="M32" s="13">
        <f>'TR TUSD'!$M$32*'TR TUSD'!$M$60</f>
        <v>1.5527539331035753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90.693549684496901</v>
      </c>
      <c r="R32" s="13">
        <f>'TR TUSD'!$R$32*'TR TUSD'!$R$60</f>
        <v>14.320818655945995</v>
      </c>
      <c r="S32" s="13">
        <f>'TR TUSD'!$S$32*'TR TUSD'!$S$60</f>
        <v>0</v>
      </c>
      <c r="T32" s="13">
        <f ca="1">SUM($L$32:$S$32)</f>
        <v>106.56712227354647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68.490200352689428</v>
      </c>
      <c r="Z32" s="13">
        <f>'TR TUSD'!$Z$32</f>
        <v>0</v>
      </c>
      <c r="AA32" s="13">
        <f>'TR TUSD'!$AA$32</f>
        <v>0</v>
      </c>
      <c r="AB32" s="13">
        <f>SUM($U$32:$AA$32)</f>
        <v>68.490200352689428</v>
      </c>
      <c r="AC32" s="13">
        <f>'TR TUSD'!$AC$32*'TR TUSD'!$AC$60</f>
        <v>204.65937545781873</v>
      </c>
      <c r="AD32" s="13">
        <f>SUM($AC$32:$AC$32)</f>
        <v>204.65937545781873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1.799162730160387</v>
      </c>
      <c r="AI32" s="13">
        <f>'TR TUSD'!$AI$32*'TR TUSD'!$AI$60</f>
        <v>7.2708247136953119E-2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1.8718709772973401</v>
      </c>
      <c r="AM32" s="13">
        <f ca="1">SUMIF($L$4:$AL$4,"SUBTOTAL",$L$32:$AL$32)</f>
        <v>381.58856906135202</v>
      </c>
      <c r="AP32" s="13">
        <f>IF((1 - CUSTOS!$M$28)&lt;&gt;0,1/(1 - CUSTOS!$M$28),1)</f>
        <v>1</v>
      </c>
    </row>
    <row r="33" spans="1:42" ht="11.25" customHeight="1" x14ac:dyDescent="0.3">
      <c r="A33" s="92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79</v>
      </c>
      <c r="H33" s="24" t="s">
        <v>72</v>
      </c>
      <c r="I33" s="24">
        <f>'MERCADO TUSD'!$U$30</f>
        <v>5511.7490000000016</v>
      </c>
      <c r="J33" s="15"/>
      <c r="L33" s="13">
        <f>'TR TUSD'!$L$33*'TR TUSD'!$L$60</f>
        <v>0</v>
      </c>
      <c r="M33" s="13">
        <f>'TR TUSD'!$M$33*'TR TUSD'!$M$60</f>
        <v>1.5527539331035753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90.693549684496901</v>
      </c>
      <c r="R33" s="13">
        <f>'TR TUSD'!$R$33*'TR TUSD'!$R$60</f>
        <v>14.320818655945995</v>
      </c>
      <c r="S33" s="13">
        <f>'TR TUSD'!$S$33*'TR TUSD'!$S$60</f>
        <v>0</v>
      </c>
      <c r="T33" s="13">
        <f ca="1">SUM($L$33:$S$33)</f>
        <v>106.56712227354647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116.15805637383041</v>
      </c>
      <c r="Z33" s="13">
        <f>'TR TUSD'!$Z$33</f>
        <v>0</v>
      </c>
      <c r="AA33" s="13">
        <f>'TR TUSD'!$AA$33</f>
        <v>0</v>
      </c>
      <c r="AB33" s="13">
        <f>SUM($U$33:$AA$33)</f>
        <v>116.15805637383041</v>
      </c>
      <c r="AC33" s="13">
        <f>'TR TUSD'!$AC$33*'TR TUSD'!$AC$60</f>
        <v>346.88051831699977</v>
      </c>
      <c r="AD33" s="13">
        <f>SUM($AC$33:$AC$33)</f>
        <v>346.88051831699977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1.799162730160387</v>
      </c>
      <c r="AI33" s="13">
        <f>'TR TUSD'!$AI$33*'TR TUSD'!$AI$60</f>
        <v>7.2708247136953119E-2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1.8718709772973401</v>
      </c>
      <c r="AM33" s="13">
        <f ca="1">SUMIF($L$4:$AL$4,"SUBTOTAL",$L$33:$AL$33)</f>
        <v>571.47756794167401</v>
      </c>
      <c r="AP33" s="13">
        <f>IF((1 - CUSTOS!$M$28)&lt;&gt;0,1/(1 - CUSTOS!$M$28),1)</f>
        <v>1</v>
      </c>
    </row>
    <row r="34" spans="1:42" ht="11.25" customHeight="1" x14ac:dyDescent="0.3">
      <c r="A34" s="92"/>
      <c r="B34" s="92" t="s">
        <v>40</v>
      </c>
      <c r="C34" s="92" t="s">
        <v>43</v>
      </c>
      <c r="D34" s="92" t="s">
        <v>89</v>
      </c>
      <c r="E34" s="92" t="s">
        <v>25</v>
      </c>
      <c r="F34" s="92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'TR TUSD'!$L$34*'TR TUSD'!$L$60</f>
        <v>0</v>
      </c>
      <c r="M34" s="13">
        <f>'TR TUSD'!$M$34*'TR TUSD'!$M$60</f>
        <v>1.5527539331035753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90.693549684496901</v>
      </c>
      <c r="R34" s="13">
        <f>'TR TUSD'!$R$34*'TR TUSD'!$R$60</f>
        <v>14.320818655945995</v>
      </c>
      <c r="S34" s="13">
        <f>'TR TUSD'!$S$34*'TR TUSD'!$S$60</f>
        <v>0</v>
      </c>
      <c r="T34" s="13">
        <f ca="1">SUM($L$34:$S$34)</f>
        <v>106.56712227354647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342.68041612268945</v>
      </c>
      <c r="Z34" s="13">
        <f>'TR TUSD'!$Z$34</f>
        <v>0</v>
      </c>
      <c r="AA34" s="13">
        <f>'TR TUSD'!$AA$34</f>
        <v>0</v>
      </c>
      <c r="AB34" s="13">
        <f>SUM($U$34:$AA$34)</f>
        <v>342.68041612268945</v>
      </c>
      <c r="AC34" s="13">
        <f>'TR TUSD'!$AC$34*'TR TUSD'!$AC$60</f>
        <v>1023.2974261278773</v>
      </c>
      <c r="AD34" s="13">
        <f>SUM($AC$34:$AC$34)</f>
        <v>1023.2974261278773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1.799162730160387</v>
      </c>
      <c r="AI34" s="13">
        <f>'TR TUSD'!$AI$34*'TR TUSD'!$AI$60</f>
        <v>7.2708247136953119E-2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1.8718709772973401</v>
      </c>
      <c r="AM34" s="13">
        <f ca="1">SUMIF($L$4:$AL$4,"SUBTOTAL",$L$34:$AL$34)</f>
        <v>1474.4168355014106</v>
      </c>
      <c r="AP34" s="13">
        <f>IF((1 - CUSTOS!$M$29)&lt;&gt;0,1/(1 - CUSTOS!$M$29),1)</f>
        <v>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24" t="s">
        <v>85</v>
      </c>
      <c r="H35" s="24" t="s">
        <v>72</v>
      </c>
      <c r="I35" s="24">
        <f>'MERCADO TUSD'!$U$32</f>
        <v>0</v>
      </c>
      <c r="J35" s="15"/>
      <c r="L35" s="13">
        <f>'TR TUSD'!$L$35*'TR TUSD'!$L$60</f>
        <v>0</v>
      </c>
      <c r="M35" s="13">
        <f>'TR TUSD'!$M$35*'TR TUSD'!$M$60</f>
        <v>1.5527539331035753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90.693549684496901</v>
      </c>
      <c r="R35" s="13">
        <f>'TR TUSD'!$R$35*'TR TUSD'!$R$60</f>
        <v>14.320818655945995</v>
      </c>
      <c r="S35" s="13">
        <f>'TR TUSD'!$S$35*'TR TUSD'!$S$60</f>
        <v>0</v>
      </c>
      <c r="T35" s="13">
        <f ca="1">SUM($L$35:$S$35)</f>
        <v>106.56712227354647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205.58530823768942</v>
      </c>
      <c r="Z35" s="13">
        <f>'TR TUSD'!$Z$35</f>
        <v>0</v>
      </c>
      <c r="AA35" s="13">
        <f>'TR TUSD'!$AA$35</f>
        <v>0</v>
      </c>
      <c r="AB35" s="13">
        <f>SUM($U$35:$AA$35)</f>
        <v>205.58530823768942</v>
      </c>
      <c r="AC35" s="13">
        <f>'TR TUSD'!$AC$35*'TR TUSD'!$AC$60</f>
        <v>613.97826358315217</v>
      </c>
      <c r="AD35" s="13">
        <f>SUM($AC$35:$AC$35)</f>
        <v>613.97826358315217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1.799162730160387</v>
      </c>
      <c r="AI35" s="13">
        <f>'TR TUSD'!$AI$35*'TR TUSD'!$AI$60</f>
        <v>7.2708247136953119E-2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1.8718709772973401</v>
      </c>
      <c r="AM35" s="13">
        <f ca="1">SUMIF($L$4:$AL$4,"SUBTOTAL",$L$35:$AL$35)</f>
        <v>928.00256507168535</v>
      </c>
      <c r="AP35" s="13">
        <f>IF((1 - CUSTOS!$M$29)&lt;&gt;0,1/(1 - CUSTOS!$M$29),1)</f>
        <v>1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24" t="s">
        <v>74</v>
      </c>
      <c r="H36" s="24" t="s">
        <v>72</v>
      </c>
      <c r="I36" s="24">
        <f>'MERCADO TUSD'!$U$33</f>
        <v>0</v>
      </c>
      <c r="J36" s="15"/>
      <c r="L36" s="13">
        <f>'TR TUSD'!$L$36*'TR TUSD'!$L$60</f>
        <v>0</v>
      </c>
      <c r="M36" s="13">
        <f>'TR TUSD'!$M$36*'TR TUSD'!$M$60</f>
        <v>1.5527539331035753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90.693549684496901</v>
      </c>
      <c r="R36" s="13">
        <f>'TR TUSD'!$R$36*'TR TUSD'!$R$60</f>
        <v>14.320818655945995</v>
      </c>
      <c r="S36" s="13">
        <f>'TR TUSD'!$S$36*'TR TUSD'!$S$60</f>
        <v>0</v>
      </c>
      <c r="T36" s="13">
        <f ca="1">SUM($L$36:$S$36)</f>
        <v>106.56712227354647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68.490200352689428</v>
      </c>
      <c r="Z36" s="13">
        <f>'TR TUSD'!$Z$36</f>
        <v>0</v>
      </c>
      <c r="AA36" s="13">
        <f>'TR TUSD'!$AA$36</f>
        <v>0</v>
      </c>
      <c r="AB36" s="13">
        <f>SUM($U$36:$AA$36)</f>
        <v>68.490200352689428</v>
      </c>
      <c r="AC36" s="13">
        <f>'TR TUSD'!$AC$36*'TR TUSD'!$AC$60</f>
        <v>204.65937545781873</v>
      </c>
      <c r="AD36" s="13">
        <f>SUM($AC$36:$AC$36)</f>
        <v>204.65937545781873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1.799162730160387</v>
      </c>
      <c r="AI36" s="13">
        <f>'TR TUSD'!$AI$36*'TR TUSD'!$AI$60</f>
        <v>7.2708247136953119E-2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1.8718709772973401</v>
      </c>
      <c r="AM36" s="13">
        <f ca="1">SUMIF($L$4:$AL$4,"SUBTOTAL",$L$36:$AL$36)</f>
        <v>381.58856906135202</v>
      </c>
      <c r="AP36" s="13">
        <f>IF((1 - CUSTOS!$M$29)&lt;&gt;0,1/(1 - CUSTOS!$M$29),1)</f>
        <v>1</v>
      </c>
    </row>
    <row r="37" spans="1:42" ht="11.25" customHeight="1" x14ac:dyDescent="0.3">
      <c r="A37" s="92"/>
      <c r="B37" s="23" t="s">
        <v>23</v>
      </c>
      <c r="C37" s="23" t="s">
        <v>43</v>
      </c>
      <c r="D37" s="23" t="s">
        <v>89</v>
      </c>
      <c r="E37" s="23" t="s">
        <v>25</v>
      </c>
      <c r="F37" s="23" t="s">
        <v>25</v>
      </c>
      <c r="G37" s="24" t="s">
        <v>79</v>
      </c>
      <c r="H37" s="24" t="s">
        <v>72</v>
      </c>
      <c r="I37" s="24">
        <f>'MERCADO TUSD'!$U$34</f>
        <v>0</v>
      </c>
      <c r="J37" s="15"/>
      <c r="L37" s="13">
        <f>'TR TUSD'!$L$37*'TR TUSD'!$L$60</f>
        <v>0</v>
      </c>
      <c r="M37" s="13">
        <f>'TR TUSD'!$M$37*'TR TUSD'!$M$60</f>
        <v>1.5527539331035753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90.693549684496901</v>
      </c>
      <c r="R37" s="13">
        <f>'TR TUSD'!$R$37*'TR TUSD'!$R$60</f>
        <v>14.320818655945995</v>
      </c>
      <c r="S37" s="13">
        <f>'TR TUSD'!$S$37*'TR TUSD'!$S$60</f>
        <v>0</v>
      </c>
      <c r="T37" s="13">
        <f ca="1">SUM($L$37:$S$37)</f>
        <v>106.56712227354647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116.15805637383041</v>
      </c>
      <c r="Z37" s="13">
        <f>'TR TUSD'!$Z$37</f>
        <v>0</v>
      </c>
      <c r="AA37" s="13">
        <f>'TR TUSD'!$AA$37</f>
        <v>0</v>
      </c>
      <c r="AB37" s="13">
        <f>SUM($U$37:$AA$37)</f>
        <v>116.15805637383041</v>
      </c>
      <c r="AC37" s="13">
        <f>'TR TUSD'!$AC$37*'TR TUSD'!$AC$60</f>
        <v>346.88051831699977</v>
      </c>
      <c r="AD37" s="13">
        <f>SUM($AC$37:$AC$37)</f>
        <v>346.88051831699977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1.799162730160387</v>
      </c>
      <c r="AI37" s="13">
        <f>'TR TUSD'!$AI$37*'TR TUSD'!$AI$60</f>
        <v>7.2708247136953119E-2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1.8718709772973401</v>
      </c>
      <c r="AM37" s="13">
        <f ca="1">SUMIF($L$4:$AL$4,"SUBTOTAL",$L$37:$AL$37)</f>
        <v>571.47756794167401</v>
      </c>
      <c r="AP37" s="13">
        <f>IF((1 - CUSTOS!$M$29)&lt;&gt;0,1/(1 - CUSTOS!$M$29),1)</f>
        <v>1</v>
      </c>
    </row>
    <row r="38" spans="1:42" ht="11.25" customHeight="1" x14ac:dyDescent="0.3">
      <c r="A38" s="92"/>
      <c r="B38" s="92" t="s">
        <v>40</v>
      </c>
      <c r="C38" s="92" t="s">
        <v>43</v>
      </c>
      <c r="D38" s="92" t="s">
        <v>90</v>
      </c>
      <c r="E38" s="92" t="s">
        <v>25</v>
      </c>
      <c r="F38" s="92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'TR TUSD'!$L$38*'TR TUSD'!$L$60</f>
        <v>0</v>
      </c>
      <c r="M38" s="13">
        <f>'TR TUSD'!$M$38*'TR TUSD'!$M$60</f>
        <v>1.5527539331035753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90.693549684496901</v>
      </c>
      <c r="R38" s="13">
        <f>'TR TUSD'!$R$38*'TR TUSD'!$R$60</f>
        <v>14.320818655945995</v>
      </c>
      <c r="S38" s="13">
        <f>'TR TUSD'!$S$38*'TR TUSD'!$S$60</f>
        <v>0</v>
      </c>
      <c r="T38" s="13">
        <f ca="1">SUM($L$38:$S$38)</f>
        <v>106.56712227354647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342.68041612268945</v>
      </c>
      <c r="Z38" s="13">
        <f>'TR TUSD'!$Z$38</f>
        <v>0</v>
      </c>
      <c r="AA38" s="13">
        <f>'TR TUSD'!$AA$38</f>
        <v>0</v>
      </c>
      <c r="AB38" s="13">
        <f>SUM($U$38:$AA$38)</f>
        <v>342.68041612268945</v>
      </c>
      <c r="AC38" s="13">
        <f>'TR TUSD'!$AC$38*'TR TUSD'!$AC$60</f>
        <v>1023.2974261278773</v>
      </c>
      <c r="AD38" s="13">
        <f>SUM($AC$38:$AC$38)</f>
        <v>1023.2974261278773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1.799162730160387</v>
      </c>
      <c r="AI38" s="13">
        <f>'TR TUSD'!$AI$38*'TR TUSD'!$AI$60</f>
        <v>7.2708247136953119E-2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1.8718709772973401</v>
      </c>
      <c r="AM38" s="13">
        <f ca="1">SUMIF($L$4:$AL$4,"SUBTOTAL",$L$38:$AL$38)</f>
        <v>1474.4168355014106</v>
      </c>
      <c r="AP38" s="13">
        <f>IF((1 - CUSTOS!$M$30)&lt;&gt;0,1/(1 - CUSTOS!$M$30),1)</f>
        <v>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24" t="s">
        <v>85</v>
      </c>
      <c r="H39" s="24" t="s">
        <v>72</v>
      </c>
      <c r="I39" s="24">
        <f>'MERCADO TUSD'!$U$36</f>
        <v>0</v>
      </c>
      <c r="J39" s="15"/>
      <c r="L39" s="13">
        <f>'TR TUSD'!$L$39*'TR TUSD'!$L$60</f>
        <v>0</v>
      </c>
      <c r="M39" s="13">
        <f>'TR TUSD'!$M$39*'TR TUSD'!$M$60</f>
        <v>1.5527539331035753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90.693549684496901</v>
      </c>
      <c r="R39" s="13">
        <f>'TR TUSD'!$R$39*'TR TUSD'!$R$60</f>
        <v>14.320818655945995</v>
      </c>
      <c r="S39" s="13">
        <f>'TR TUSD'!$S$39*'TR TUSD'!$S$60</f>
        <v>0</v>
      </c>
      <c r="T39" s="13">
        <f ca="1">SUM($L$39:$S$39)</f>
        <v>106.56712227354647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205.58530823768942</v>
      </c>
      <c r="Z39" s="13">
        <f>'TR TUSD'!$Z$39</f>
        <v>0</v>
      </c>
      <c r="AA39" s="13">
        <f>'TR TUSD'!$AA$39</f>
        <v>0</v>
      </c>
      <c r="AB39" s="13">
        <f>SUM($U$39:$AA$39)</f>
        <v>205.58530823768942</v>
      </c>
      <c r="AC39" s="13">
        <f>'TR TUSD'!$AC$39*'TR TUSD'!$AC$60</f>
        <v>613.97826358315217</v>
      </c>
      <c r="AD39" s="13">
        <f>SUM($AC$39:$AC$39)</f>
        <v>613.97826358315217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1.799162730160387</v>
      </c>
      <c r="AI39" s="13">
        <f>'TR TUSD'!$AI$39*'TR TUSD'!$AI$60</f>
        <v>7.2708247136953119E-2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1.8718709772973401</v>
      </c>
      <c r="AM39" s="13">
        <f ca="1">SUMIF($L$4:$AL$4,"SUBTOTAL",$L$39:$AL$39)</f>
        <v>928.00256507168535</v>
      </c>
      <c r="AP39" s="13">
        <f>IF((1 - CUSTOS!$M$30)&lt;&gt;0,1/(1 - CUSTOS!$M$30),1)</f>
        <v>1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24" t="s">
        <v>74</v>
      </c>
      <c r="H40" s="24" t="s">
        <v>72</v>
      </c>
      <c r="I40" s="24">
        <f>'MERCADO TUSD'!$U$37</f>
        <v>0</v>
      </c>
      <c r="J40" s="15"/>
      <c r="L40" s="13">
        <f>'TR TUSD'!$L$40*'TR TUSD'!$L$60</f>
        <v>0</v>
      </c>
      <c r="M40" s="13">
        <f>'TR TUSD'!$M$40*'TR TUSD'!$M$60</f>
        <v>1.5527539331035753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90.693549684496901</v>
      </c>
      <c r="R40" s="13">
        <f>'TR TUSD'!$R$40*'TR TUSD'!$R$60</f>
        <v>14.320818655945995</v>
      </c>
      <c r="S40" s="13">
        <f>'TR TUSD'!$S$40*'TR TUSD'!$S$60</f>
        <v>0</v>
      </c>
      <c r="T40" s="13">
        <f ca="1">SUM($L$40:$S$40)</f>
        <v>106.56712227354647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68.490200352689428</v>
      </c>
      <c r="Z40" s="13">
        <f>'TR TUSD'!$Z$40</f>
        <v>0</v>
      </c>
      <c r="AA40" s="13">
        <f>'TR TUSD'!$AA$40</f>
        <v>0</v>
      </c>
      <c r="AB40" s="13">
        <f>SUM($U$40:$AA$40)</f>
        <v>68.490200352689428</v>
      </c>
      <c r="AC40" s="13">
        <f>'TR TUSD'!$AC$40*'TR TUSD'!$AC$60</f>
        <v>204.65937545781873</v>
      </c>
      <c r="AD40" s="13">
        <f>SUM($AC$40:$AC$40)</f>
        <v>204.65937545781873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1.799162730160387</v>
      </c>
      <c r="AI40" s="13">
        <f>'TR TUSD'!$AI$40*'TR TUSD'!$AI$60</f>
        <v>7.2708247136953119E-2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1.8718709772973401</v>
      </c>
      <c r="AM40" s="13">
        <f ca="1">SUMIF($L$4:$AL$4,"SUBTOTAL",$L$40:$AL$40)</f>
        <v>381.58856906135202</v>
      </c>
      <c r="AP40" s="13">
        <f>IF((1 - CUSTOS!$M$30)&lt;&gt;0,1/(1 - CUSTOS!$M$30),1)</f>
        <v>1</v>
      </c>
    </row>
    <row r="41" spans="1:42" ht="11.25" customHeight="1" x14ac:dyDescent="0.3">
      <c r="A41" s="92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79</v>
      </c>
      <c r="H41" s="24" t="s">
        <v>72</v>
      </c>
      <c r="I41" s="24">
        <f>'MERCADO TUSD'!$U$38</f>
        <v>0</v>
      </c>
      <c r="J41" s="15"/>
      <c r="L41" s="13">
        <f>'TR TUSD'!$L$41*'TR TUSD'!$L$60</f>
        <v>0</v>
      </c>
      <c r="M41" s="13">
        <f>'TR TUSD'!$M$41*'TR TUSD'!$M$60</f>
        <v>1.5527539331035753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90.693549684496901</v>
      </c>
      <c r="R41" s="13">
        <f>'TR TUSD'!$R$41*'TR TUSD'!$R$60</f>
        <v>14.320818655945995</v>
      </c>
      <c r="S41" s="13">
        <f>'TR TUSD'!$S$41*'TR TUSD'!$S$60</f>
        <v>0</v>
      </c>
      <c r="T41" s="13">
        <f ca="1">SUM($L$41:$S$41)</f>
        <v>106.56712227354647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116.15805637383041</v>
      </c>
      <c r="Z41" s="13">
        <f>'TR TUSD'!$Z$41</f>
        <v>0</v>
      </c>
      <c r="AA41" s="13">
        <f>'TR TUSD'!$AA$41</f>
        <v>0</v>
      </c>
      <c r="AB41" s="13">
        <f>SUM($U$41:$AA$41)</f>
        <v>116.15805637383041</v>
      </c>
      <c r="AC41" s="13">
        <f>'TR TUSD'!$AC$41*'TR TUSD'!$AC$60</f>
        <v>346.88051831699977</v>
      </c>
      <c r="AD41" s="13">
        <f>SUM($AC$41:$AC$41)</f>
        <v>346.88051831699977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1.799162730160387</v>
      </c>
      <c r="AI41" s="13">
        <f>'TR TUSD'!$AI$41*'TR TUSD'!$AI$60</f>
        <v>7.2708247136953119E-2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1.8718709772973401</v>
      </c>
      <c r="AM41" s="13">
        <f ca="1">SUMIF($L$4:$AL$4,"SUBTOTAL",$L$41:$AL$41)</f>
        <v>571.47756794167401</v>
      </c>
      <c r="AP41" s="13">
        <f>IF((1 - CUSTOS!$M$30)&lt;&gt;0,1/(1 - CUSTOS!$M$30),1)</f>
        <v>1</v>
      </c>
    </row>
    <row r="42" spans="1:42" ht="11.25" customHeight="1" x14ac:dyDescent="0.3">
      <c r="A42" s="92"/>
      <c r="B42" s="92" t="s">
        <v>88</v>
      </c>
      <c r="C42" s="92" t="s">
        <v>43</v>
      </c>
      <c r="D42" s="23" t="s">
        <v>25</v>
      </c>
      <c r="E42" s="23" t="s">
        <v>25</v>
      </c>
      <c r="F42" s="23" t="s">
        <v>25</v>
      </c>
      <c r="G42" s="24" t="s">
        <v>79</v>
      </c>
      <c r="H42" s="24" t="s">
        <v>72</v>
      </c>
      <c r="I42" s="24">
        <f>'MERCADO TUSD'!$U$39</f>
        <v>0</v>
      </c>
      <c r="J42" s="15"/>
      <c r="L42" s="13">
        <f>'TR TUSD'!$L$42*'TR TUSD'!$L$60</f>
        <v>0</v>
      </c>
      <c r="M42" s="13">
        <f>'TR TUSD'!$M$42*'TR TUSD'!$M$60</f>
        <v>1.5527539331035753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90.693549684496901</v>
      </c>
      <c r="R42" s="13">
        <f>'TR TUSD'!$R$42*'TR TUSD'!$R$60</f>
        <v>14.320818655945995</v>
      </c>
      <c r="S42" s="13">
        <f>'TR TUSD'!$S$42*'TR TUSD'!$S$60</f>
        <v>0</v>
      </c>
      <c r="T42" s="13">
        <f ca="1">SUM($L$42:$S$42)</f>
        <v>106.56712227354647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116.15805637383041</v>
      </c>
      <c r="Z42" s="13">
        <f>'TR TUSD'!$Z$42</f>
        <v>0</v>
      </c>
      <c r="AA42" s="13">
        <f>'TR TUSD'!$AA$42</f>
        <v>0</v>
      </c>
      <c r="AB42" s="13">
        <f>SUM($U$42:$AA$42)</f>
        <v>116.15805637383041</v>
      </c>
      <c r="AC42" s="13">
        <f>'TR TUSD'!$AC$42*'TR TUSD'!$AC$60</f>
        <v>346.88051831699977</v>
      </c>
      <c r="AD42" s="13">
        <f>SUM($AC$42:$AC$42)</f>
        <v>346.88051831699977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1.799162730160387</v>
      </c>
      <c r="AI42" s="13">
        <f>'TR TUSD'!$AI$42*'TR TUSD'!$AI$60</f>
        <v>7.2708247136953119E-2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1.8718709772973401</v>
      </c>
      <c r="AM42" s="13">
        <f ca="1">SUMIF($L$4:$AL$4,"SUBTOTAL",$L$42:$AL$42)</f>
        <v>571.47756794167401</v>
      </c>
      <c r="AP42" s="13">
        <f>IF((1 - CUSTOS!$M$28)&lt;&gt;0,1/(1 - CUSTOS!$M$28),1)</f>
        <v>1</v>
      </c>
    </row>
    <row r="43" spans="1:42" ht="11.25" customHeight="1" x14ac:dyDescent="0.3">
      <c r="A43" s="92"/>
      <c r="B43" s="92"/>
      <c r="C43" s="92"/>
      <c r="D43" s="23" t="s">
        <v>89</v>
      </c>
      <c r="E43" s="23" t="s">
        <v>25</v>
      </c>
      <c r="F43" s="23" t="s">
        <v>25</v>
      </c>
      <c r="G43" s="24" t="s">
        <v>79</v>
      </c>
      <c r="H43" s="24" t="s">
        <v>72</v>
      </c>
      <c r="I43" s="24">
        <f>'MERCADO TUSD'!$U$40</f>
        <v>0</v>
      </c>
      <c r="J43" s="15"/>
      <c r="L43" s="13">
        <f>'TR TUSD'!$L$43*'TR TUSD'!$L$60</f>
        <v>0</v>
      </c>
      <c r="M43" s="13">
        <f>'TR TUSD'!$M$43*'TR TUSD'!$M$60</f>
        <v>1.5527539331035753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90.693549684496901</v>
      </c>
      <c r="R43" s="13">
        <f>'TR TUSD'!$R$43*'TR TUSD'!$R$60</f>
        <v>14.320818655945995</v>
      </c>
      <c r="S43" s="13">
        <f>'TR TUSD'!$S$43*'TR TUSD'!$S$60</f>
        <v>0</v>
      </c>
      <c r="T43" s="13">
        <f ca="1">SUM($L$43:$S$43)</f>
        <v>106.56712227354647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116.15805637383041</v>
      </c>
      <c r="Z43" s="13">
        <f>'TR TUSD'!$Z$43</f>
        <v>0</v>
      </c>
      <c r="AA43" s="13">
        <f>'TR TUSD'!$AA$43</f>
        <v>0</v>
      </c>
      <c r="AB43" s="13">
        <f>SUM($U$43:$AA$43)</f>
        <v>116.15805637383041</v>
      </c>
      <c r="AC43" s="13">
        <f>'TR TUSD'!$AC$43*'TR TUSD'!$AC$60</f>
        <v>346.88051831699977</v>
      </c>
      <c r="AD43" s="13">
        <f>SUM($AC$43:$AC$43)</f>
        <v>346.88051831699977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1.799162730160387</v>
      </c>
      <c r="AI43" s="13">
        <f>'TR TUSD'!$AI$43*'TR TUSD'!$AI$60</f>
        <v>7.2708247136953119E-2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1.8718709772973401</v>
      </c>
      <c r="AM43" s="13">
        <f ca="1">SUMIF($L$4:$AL$4,"SUBTOTAL",$L$43:$AL$43)</f>
        <v>571.47756794167401</v>
      </c>
      <c r="AP43" s="13">
        <f>IF((1 - CUSTOS!$M$29)&lt;&gt;0,1/(1 - CUSTOS!$M$29),1)</f>
        <v>1</v>
      </c>
    </row>
    <row r="44" spans="1:42" ht="11.25" customHeight="1" x14ac:dyDescent="0.3">
      <c r="A44" s="92"/>
      <c r="B44" s="92"/>
      <c r="C44" s="92"/>
      <c r="D44" s="23" t="s">
        <v>90</v>
      </c>
      <c r="E44" s="23" t="s">
        <v>25</v>
      </c>
      <c r="F44" s="23" t="s">
        <v>25</v>
      </c>
      <c r="G44" s="24" t="s">
        <v>79</v>
      </c>
      <c r="H44" s="24" t="s">
        <v>72</v>
      </c>
      <c r="I44" s="24">
        <f>'MERCADO TUSD'!$U$41</f>
        <v>0</v>
      </c>
      <c r="J44" s="15"/>
      <c r="L44" s="13">
        <f>'TR TUSD'!$L$44*'TR TUSD'!$L$60</f>
        <v>0</v>
      </c>
      <c r="M44" s="13">
        <f>'TR TUSD'!$M$44*'TR TUSD'!$M$60</f>
        <v>1.5527539331035753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90.693549684496901</v>
      </c>
      <c r="R44" s="13">
        <f>'TR TUSD'!$R$44*'TR TUSD'!$R$60</f>
        <v>14.320818655945995</v>
      </c>
      <c r="S44" s="13">
        <f>'TR TUSD'!$S$44*'TR TUSD'!$S$60</f>
        <v>0</v>
      </c>
      <c r="T44" s="13">
        <f ca="1">SUM($L$44:$S$44)</f>
        <v>106.56712227354647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116.15805637383041</v>
      </c>
      <c r="Z44" s="13">
        <f>'TR TUSD'!$Z$44</f>
        <v>0</v>
      </c>
      <c r="AA44" s="13">
        <f>'TR TUSD'!$AA$44</f>
        <v>0</v>
      </c>
      <c r="AB44" s="13">
        <f>SUM($U$44:$AA$44)</f>
        <v>116.15805637383041</v>
      </c>
      <c r="AC44" s="13">
        <f>'TR TUSD'!$AC$44*'TR TUSD'!$AC$60</f>
        <v>346.88051831699977</v>
      </c>
      <c r="AD44" s="13">
        <f>SUM($AC$44:$AC$44)</f>
        <v>346.88051831699977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1.799162730160387</v>
      </c>
      <c r="AI44" s="13">
        <f>'TR TUSD'!$AI$44*'TR TUSD'!$AI$60</f>
        <v>7.2708247136953119E-2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1.8718709772973401</v>
      </c>
      <c r="AM44" s="13">
        <f ca="1">SUMIF($L$4:$AL$4,"SUBTOTAL",$L$44:$AL$44)</f>
        <v>571.47756794167401</v>
      </c>
      <c r="AP44" s="13">
        <f>IF((1 - CUSTOS!$M$30)&lt;&gt;0,1/(1 - CUSTOS!$M$30),1)</f>
        <v>1</v>
      </c>
    </row>
    <row r="45" spans="1:42" ht="11.25" customHeight="1" x14ac:dyDescent="0.3">
      <c r="A45" s="92" t="s">
        <v>33</v>
      </c>
      <c r="B45" s="92" t="s">
        <v>40</v>
      </c>
      <c r="C45" s="92" t="s">
        <v>25</v>
      </c>
      <c r="D45" s="92" t="s">
        <v>25</v>
      </c>
      <c r="E45" s="92" t="s">
        <v>25</v>
      </c>
      <c r="F45" s="92" t="s">
        <v>25</v>
      </c>
      <c r="G45" s="24" t="s">
        <v>73</v>
      </c>
      <c r="H45" s="24" t="s">
        <v>72</v>
      </c>
      <c r="I45" s="24">
        <f>'MERCADO TUSD'!$U$42</f>
        <v>0.86799999999999977</v>
      </c>
      <c r="J45" s="15"/>
      <c r="L45" s="13">
        <f>'TR TUSD'!$L$45*'TR TUSD'!$L$60</f>
        <v>0</v>
      </c>
      <c r="M45" s="13">
        <f>'TR TUSD'!$M$45*'TR TUSD'!$M$60</f>
        <v>1.5527539331035753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90.693549684496901</v>
      </c>
      <c r="R45" s="13">
        <f>'TR TUSD'!$R$45*'TR TUSD'!$R$60</f>
        <v>14.320818655945995</v>
      </c>
      <c r="S45" s="13">
        <f>'TR TUSD'!$S$45*'TR TUSD'!$S$60</f>
        <v>0</v>
      </c>
      <c r="T45" s="13">
        <f ca="1">SUM($L$45:$S$45)</f>
        <v>106.56712227354647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400.84540966757476</v>
      </c>
      <c r="Z45" s="13">
        <f>'TR TUSD'!$Z$45</f>
        <v>0</v>
      </c>
      <c r="AA45" s="13">
        <f>'TR TUSD'!$AA$45</f>
        <v>0</v>
      </c>
      <c r="AB45" s="13">
        <f>SUM($U$45:$AA$45)</f>
        <v>400.84540966757476</v>
      </c>
      <c r="AC45" s="13">
        <f>'TR TUSD'!$AC$45*'TR TUSD'!$AC$60</f>
        <v>1196.7373422621374</v>
      </c>
      <c r="AD45" s="13">
        <f>SUM($AC$45:$AC$45)</f>
        <v>1196.7373422621374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1.799162730160387</v>
      </c>
      <c r="AI45" s="13">
        <f>'TR TUSD'!$AI$45*'TR TUSD'!$AI$60</f>
        <v>7.2708247136953119E-2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1.8718709772973401</v>
      </c>
      <c r="AM45" s="13">
        <f ca="1">SUMIF($L$4:$AL$4,"SUBTOTAL",$L$45:$AL$45)</f>
        <v>1706.0217451805559</v>
      </c>
      <c r="AP45" s="13">
        <f>IF((1 - CUSTOS!$M$31)&lt;&gt;0,1/(1 - CUSTOS!$M$31),1)</f>
        <v>1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24" t="s">
        <v>85</v>
      </c>
      <c r="H46" s="24" t="s">
        <v>72</v>
      </c>
      <c r="I46" s="24">
        <f>'MERCADO TUSD'!$U$43</f>
        <v>0.57500000000000007</v>
      </c>
      <c r="J46" s="15"/>
      <c r="L46" s="13">
        <f>'TR TUSD'!$L$46*'TR TUSD'!$L$60</f>
        <v>0</v>
      </c>
      <c r="M46" s="13">
        <f>'TR TUSD'!$M$46*'TR TUSD'!$M$60</f>
        <v>1.5527539331035753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90.693549684496901</v>
      </c>
      <c r="R46" s="13">
        <f>'TR TUSD'!$R$46*'TR TUSD'!$R$60</f>
        <v>14.320818655945995</v>
      </c>
      <c r="S46" s="13">
        <f>'TR TUSD'!$S$46*'TR TUSD'!$S$60</f>
        <v>0</v>
      </c>
      <c r="T46" s="13">
        <f ca="1">SUM($L$46:$S$46)</f>
        <v>106.56712227354647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240.46136292869639</v>
      </c>
      <c r="Z46" s="13">
        <f>'TR TUSD'!$Z$46</f>
        <v>0</v>
      </c>
      <c r="AA46" s="13">
        <f>'TR TUSD'!$AA$46</f>
        <v>0</v>
      </c>
      <c r="AB46" s="13">
        <f>SUM($U$46:$AA$46)</f>
        <v>240.46136292869639</v>
      </c>
      <c r="AC46" s="13">
        <f>'TR TUSD'!$AC$46*'TR TUSD'!$AC$60</f>
        <v>718.0423504734041</v>
      </c>
      <c r="AD46" s="13">
        <f>SUM($AC$46:$AC$46)</f>
        <v>718.0423504734041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1.799162730160387</v>
      </c>
      <c r="AI46" s="13">
        <f>'TR TUSD'!$AI$46*'TR TUSD'!$AI$60</f>
        <v>7.2708247136953119E-2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1.8718709772973401</v>
      </c>
      <c r="AM46" s="13">
        <f ca="1">SUMIF($L$4:$AL$4,"SUBTOTAL",$L$46:$AL$46)</f>
        <v>1066.9427066529443</v>
      </c>
      <c r="AP46" s="13">
        <f>IF((1 - CUSTOS!$M$31)&lt;&gt;0,1/(1 - CUSTOS!$M$31),1)</f>
        <v>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24" t="s">
        <v>74</v>
      </c>
      <c r="H47" s="24" t="s">
        <v>72</v>
      </c>
      <c r="I47" s="24">
        <f>'MERCADO TUSD'!$U$44</f>
        <v>9.5989999999999984</v>
      </c>
      <c r="J47" s="15"/>
      <c r="L47" s="13">
        <f>'TR TUSD'!$L$47*'TR TUSD'!$L$60</f>
        <v>0</v>
      </c>
      <c r="M47" s="13">
        <f>'TR TUSD'!$M$47*'TR TUSD'!$M$60</f>
        <v>1.5527539331035753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90.693549684496901</v>
      </c>
      <c r="R47" s="13">
        <f>'TR TUSD'!$R$47*'TR TUSD'!$R$60</f>
        <v>14.320818655945995</v>
      </c>
      <c r="S47" s="13">
        <f>'TR TUSD'!$S$47*'TR TUSD'!$S$60</f>
        <v>0</v>
      </c>
      <c r="T47" s="13">
        <f ca="1">SUM($L$47:$S$47)</f>
        <v>106.56712227354647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80.134669779628595</v>
      </c>
      <c r="Z47" s="13">
        <f>'TR TUSD'!$Z$47</f>
        <v>0</v>
      </c>
      <c r="AA47" s="13">
        <f>'TR TUSD'!$AA$47</f>
        <v>0</v>
      </c>
      <c r="AB47" s="13">
        <f>SUM($U$47:$AA$47)</f>
        <v>80.134669779628595</v>
      </c>
      <c r="AC47" s="13">
        <f>'TR TUSD'!$AC$47*'TR TUSD'!$AC$60</f>
        <v>239.34777031375853</v>
      </c>
      <c r="AD47" s="13">
        <f>SUM($AC$47:$AC$47)</f>
        <v>239.34777031375853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1.799162730160387</v>
      </c>
      <c r="AI47" s="13">
        <f>'TR TUSD'!$AI$47*'TR TUSD'!$AI$60</f>
        <v>7.2708247136953119E-2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1.8718709772973401</v>
      </c>
      <c r="AM47" s="13">
        <f ca="1">SUMIF($L$4:$AL$4,"SUBTOTAL",$L$47:$AL$47)</f>
        <v>427.92143334423099</v>
      </c>
      <c r="AP47" s="13">
        <f>IF((1 - CUSTOS!$M$31)&lt;&gt;0,1/(1 - CUSTOS!$M$31),1)</f>
        <v>1</v>
      </c>
    </row>
    <row r="48" spans="1:42" ht="11.25" customHeight="1" x14ac:dyDescent="0.3">
      <c r="A48" s="9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79</v>
      </c>
      <c r="H48" s="24" t="s">
        <v>72</v>
      </c>
      <c r="I48" s="24">
        <f>'MERCADO TUSD'!$U$45</f>
        <v>3233.996000000001</v>
      </c>
      <c r="J48" s="15"/>
      <c r="L48" s="13">
        <f>'TR TUSD'!$L$48*'TR TUSD'!$L$60</f>
        <v>0</v>
      </c>
      <c r="M48" s="13">
        <f>'TR TUSD'!$M$48*'TR TUSD'!$M$60</f>
        <v>1.5527539331035753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90.693549684496901</v>
      </c>
      <c r="R48" s="13">
        <f>'TR TUSD'!$R$48*'TR TUSD'!$R$60</f>
        <v>14.320818655945995</v>
      </c>
      <c r="S48" s="13">
        <f>'TR TUSD'!$S$48*'TR TUSD'!$S$60</f>
        <v>0</v>
      </c>
      <c r="T48" s="13">
        <f ca="1">SUM($L$48:$S$48)</f>
        <v>106.56712227354647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116.15805637383041</v>
      </c>
      <c r="Z48" s="13">
        <f>'TR TUSD'!$Z$48</f>
        <v>0</v>
      </c>
      <c r="AA48" s="13">
        <f>'TR TUSD'!$AA$48</f>
        <v>0</v>
      </c>
      <c r="AB48" s="13">
        <f>SUM($U$48:$AA$48)</f>
        <v>116.15805637383041</v>
      </c>
      <c r="AC48" s="13">
        <f>'TR TUSD'!$AC$48*'TR TUSD'!$AC$60</f>
        <v>346.88051831699977</v>
      </c>
      <c r="AD48" s="13">
        <f>SUM($AC$48:$AC$48)</f>
        <v>346.88051831699977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1.799162730160387</v>
      </c>
      <c r="AI48" s="13">
        <f>'TR TUSD'!$AI$48*'TR TUSD'!$AI$60</f>
        <v>7.2708247136953119E-2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1.8718709772973401</v>
      </c>
      <c r="AM48" s="13">
        <f ca="1">SUMIF($L$4:$AL$4,"SUBTOTAL",$L$48:$AL$48)</f>
        <v>571.47756794167401</v>
      </c>
      <c r="AP48" s="13">
        <f>IF((1 - CUSTOS!$M$31)&lt;&gt;0,1/(1 - CUSTOS!$M$31),1)</f>
        <v>1</v>
      </c>
    </row>
    <row r="49" spans="1:42" ht="11.25" customHeight="1" x14ac:dyDescent="0.3">
      <c r="A49" s="92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79</v>
      </c>
      <c r="H49" s="24" t="s">
        <v>72</v>
      </c>
      <c r="I49" s="24">
        <f>'MERCADO TUSD'!$U$46</f>
        <v>0</v>
      </c>
      <c r="J49" s="15"/>
      <c r="L49" s="13">
        <f>'TR TUSD'!$L$49*'TR TUSD'!$L$60</f>
        <v>0</v>
      </c>
      <c r="M49" s="13">
        <f>'TR TUSD'!$M$49*'TR TUSD'!$M$60</f>
        <v>1.5527539331035753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90.693549684496901</v>
      </c>
      <c r="R49" s="13">
        <f>'TR TUSD'!$R$49*'TR TUSD'!$R$60</f>
        <v>14.320818655945995</v>
      </c>
      <c r="S49" s="13">
        <f>'TR TUSD'!$S$49*'TR TUSD'!$S$60</f>
        <v>0</v>
      </c>
      <c r="T49" s="13">
        <f ca="1">SUM($L$49:$S$49)</f>
        <v>106.56712227354647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116.15805637383041</v>
      </c>
      <c r="Z49" s="13">
        <f>'TR TUSD'!$Z$49</f>
        <v>0</v>
      </c>
      <c r="AA49" s="13">
        <f>'TR TUSD'!$AA$49</f>
        <v>0</v>
      </c>
      <c r="AB49" s="13">
        <f>SUM($U$49:$AA$49)</f>
        <v>116.15805637383041</v>
      </c>
      <c r="AC49" s="13">
        <f>'TR TUSD'!$AC$49*'TR TUSD'!$AC$60</f>
        <v>346.88051831699977</v>
      </c>
      <c r="AD49" s="13">
        <f>SUM($AC$49:$AC$49)</f>
        <v>346.88051831699977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1.799162730160387</v>
      </c>
      <c r="AI49" s="13">
        <f>'TR TUSD'!$AI$49*'TR TUSD'!$AI$60</f>
        <v>7.2708247136953119E-2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1.8718709772973401</v>
      </c>
      <c r="AM49" s="13">
        <f ca="1">SUMIF($L$4:$AL$4,"SUBTOTAL",$L$49:$AL$49)</f>
        <v>571.47756794167401</v>
      </c>
      <c r="AP49" s="13">
        <f>IF((1 - CUSTOS!$M$31)&lt;&gt;0,1/(1 - CUSTOS!$M$31),1)</f>
        <v>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23" t="s">
        <v>47</v>
      </c>
      <c r="E50" s="23" t="s">
        <v>25</v>
      </c>
      <c r="F50" s="23" t="s">
        <v>25</v>
      </c>
      <c r="G50" s="24" t="s">
        <v>79</v>
      </c>
      <c r="H50" s="24" t="s">
        <v>72</v>
      </c>
      <c r="I50" s="24">
        <f>'MERCADO TUSD'!$U$47</f>
        <v>1210.0279999999998</v>
      </c>
      <c r="J50" s="15"/>
      <c r="L50" s="13">
        <f>'TR TUSD'!$L$50*'TR TUSD'!$L$60</f>
        <v>0</v>
      </c>
      <c r="M50" s="13">
        <f>'TR TUSD'!$M$50*'TR TUSD'!$M$60</f>
        <v>0.85401466320696651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49.881452326473301</v>
      </c>
      <c r="R50" s="13">
        <f>'TR TUSD'!$R$50*'TR TUSD'!$R$60</f>
        <v>7.876450260770298</v>
      </c>
      <c r="S50" s="13">
        <f>'TR TUSD'!$S$50*'TR TUSD'!$S$60</f>
        <v>0</v>
      </c>
      <c r="T50" s="13">
        <f ca="1">SUM($L$50:$S$50)</f>
        <v>58.611917250450567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63.886931005606726</v>
      </c>
      <c r="Z50" s="13">
        <f>'TR TUSD'!$Z$50</f>
        <v>0</v>
      </c>
      <c r="AA50" s="13">
        <f>'TR TUSD'!$AA$50</f>
        <v>0</v>
      </c>
      <c r="AB50" s="13">
        <f>SUM($U$50:$AA$50)</f>
        <v>63.886931005606726</v>
      </c>
      <c r="AC50" s="13">
        <f>'TR TUSD'!$AC$50*'TR TUSD'!$AC$60</f>
        <v>190.78428507434987</v>
      </c>
      <c r="AD50" s="13">
        <f>SUM($AC$50:$AC$50)</f>
        <v>190.78428507434987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0.98953950158821302</v>
      </c>
      <c r="AI50" s="13">
        <f>'TR TUSD'!$AI$50*'TR TUSD'!$AI$60</f>
        <v>3.998953592532422E-2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1.0295290375135373</v>
      </c>
      <c r="AM50" s="13">
        <f ca="1">SUMIF($L$4:$AL$4,"SUBTOTAL",$L$50:$AL$50)</f>
        <v>314.31266236792072</v>
      </c>
      <c r="AP50" s="13">
        <f>IF((1 - CUSTOS!$M$32)&lt;&gt;0,1/(1 - CUSTOS!$M$32),1)</f>
        <v>1.8181818181818181</v>
      </c>
    </row>
    <row r="51" spans="1:42" ht="11.25" customHeight="1" x14ac:dyDescent="0.3">
      <c r="A51" s="92"/>
      <c r="B51" s="92"/>
      <c r="C51" s="92"/>
      <c r="D51" s="24" t="s">
        <v>91</v>
      </c>
      <c r="E51" s="24" t="s">
        <v>25</v>
      </c>
      <c r="F51" s="24" t="s">
        <v>25</v>
      </c>
      <c r="G51" s="24" t="s">
        <v>79</v>
      </c>
      <c r="H51" s="24" t="s">
        <v>72</v>
      </c>
      <c r="I51" s="24">
        <f>'MERCADO TUSD'!$U$48</f>
        <v>0</v>
      </c>
      <c r="J51" s="15"/>
      <c r="L51" s="13">
        <f>'TR TUSD'!$L$51*'TR TUSD'!$L$60</f>
        <v>0</v>
      </c>
      <c r="M51" s="13">
        <f>'TR TUSD'!$M$51*'TR TUSD'!$M$60</f>
        <v>0.93165235986214523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54.416129810698138</v>
      </c>
      <c r="R51" s="13">
        <f>'TR TUSD'!$R$51*'TR TUSD'!$R$60</f>
        <v>8.5924911935675965</v>
      </c>
      <c r="S51" s="13">
        <f>'TR TUSD'!$S$51*'TR TUSD'!$S$60</f>
        <v>0</v>
      </c>
      <c r="T51" s="13">
        <f ca="1">SUM($L$51:$S$51)</f>
        <v>63.940273364127883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69.694833824298243</v>
      </c>
      <c r="Z51" s="13">
        <f>'TR TUSD'!$Z$51</f>
        <v>0</v>
      </c>
      <c r="AA51" s="13">
        <f>'TR TUSD'!$AA$51</f>
        <v>0</v>
      </c>
      <c r="AB51" s="13">
        <f>SUM($U$51:$AA$51)</f>
        <v>69.694833824298243</v>
      </c>
      <c r="AC51" s="13">
        <f>'TR TUSD'!$AC$51*'TR TUSD'!$AC$60</f>
        <v>208.12831099019985</v>
      </c>
      <c r="AD51" s="13">
        <f>SUM($AC$51:$AC$51)</f>
        <v>208.12831099019985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1.0794976380962322</v>
      </c>
      <c r="AI51" s="13">
        <f>'TR TUSD'!$AI$51*'TR TUSD'!$AI$60</f>
        <v>4.3624948282171873E-2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1.123122586378404</v>
      </c>
      <c r="AM51" s="13">
        <f ca="1">SUMIF($L$4:$AL$4,"SUBTOTAL",$L$51:$AL$51)</f>
        <v>342.88654076500444</v>
      </c>
      <c r="AP51" s="13">
        <f>IF((1 - CUSTOS!$M$33)&lt;&gt;0,1/(1 - CUSTOS!$M$33),1)</f>
        <v>1.6666666666666667</v>
      </c>
    </row>
    <row r="53" spans="1:42" ht="11.25" customHeight="1" x14ac:dyDescent="0.3">
      <c r="K53" s="16" t="s">
        <v>533</v>
      </c>
      <c r="L53" s="13">
        <f>SUMPRODUCT($I$5:$I51,$L$5:$L51)</f>
        <v>0</v>
      </c>
      <c r="M53" s="13">
        <f>SUMPRODUCT($I$5:$I51,$M$5:$M51)</f>
        <v>46023.713893769425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3294285.67936</v>
      </c>
      <c r="R53" s="13">
        <f>SUMPRODUCT($I$5:$I51,$R$5:$R51)</f>
        <v>577427.02812000003</v>
      </c>
      <c r="S53" s="13">
        <f>SUMPRODUCT($I$5:$I51,$S$5:$S51)</f>
        <v>0</v>
      </c>
      <c r="T53" s="13">
        <f ca="1">SUMPRODUCT($I$5:$I51,$T$5:$T51)</f>
        <v>3917736.4213737696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4210458.682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4210458.682</v>
      </c>
      <c r="AC53" s="13">
        <f>SUMPRODUCT($I$5:$I51,$AC$5:$AC51)</f>
        <v>10281408.04154011</v>
      </c>
      <c r="AD53" s="13">
        <f>SUMPRODUCT($I$5:$I51,$AD$5:$AD51)</f>
        <v>10281408.04154011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45738.461918426357</v>
      </c>
      <c r="AI53" s="13">
        <f>SUMPRODUCT($I$5:$I51,$AI$5:$AI51)</f>
        <v>1848.394999007457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47586.856917433834</v>
      </c>
      <c r="AM53" s="13">
        <f ca="1">SUMPRODUCT($I$5:$I51,$AM$5:$AM51)</f>
        <v>18457190.001831315</v>
      </c>
    </row>
    <row r="54" spans="1:42" ht="11.25" customHeight="1" x14ac:dyDescent="0.3">
      <c r="K54" s="16" t="s">
        <v>465</v>
      </c>
      <c r="L54" s="13">
        <f>'TR TUSD'!$L$56</f>
        <v>0</v>
      </c>
      <c r="M54" s="13">
        <f>'TR TUSD'!$M$56</f>
        <v>46023.713893769425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3294285.67936</v>
      </c>
      <c r="R54" s="13">
        <f>'TR TUSD'!$R$56</f>
        <v>577427.02811999992</v>
      </c>
      <c r="S54" s="13">
        <f>'TR TUSD'!$S$56</f>
        <v>0</v>
      </c>
      <c r="T54" s="13">
        <f>'TR TUSD'!$T$56</f>
        <v>3917736.4213737692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4210458.682</v>
      </c>
      <c r="Z54" s="13">
        <f>'TR TUSD'!$Z$56</f>
        <v>0</v>
      </c>
      <c r="AA54" s="13">
        <f>'TR TUSD'!$AA$56</f>
        <v>0</v>
      </c>
      <c r="AB54" s="13">
        <f>'TR TUSD'!$AB$56</f>
        <v>4210458.682</v>
      </c>
      <c r="AC54" s="13">
        <f>'TR TUSD'!$AC$56</f>
        <v>10281408.04154011</v>
      </c>
      <c r="AD54" s="13">
        <f>'TR TUSD'!$AD$56</f>
        <v>10281408.04154011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45738.461918426372</v>
      </c>
      <c r="AI54" s="13">
        <f>'TR TUSD'!$AI$56</f>
        <v>1848.3949990074575</v>
      </c>
      <c r="AJ54" s="13">
        <f>'TR TUSD'!$AJ$56</f>
        <v>0</v>
      </c>
      <c r="AK54" s="13">
        <f>'TR TUSD'!$AK$56</f>
        <v>0</v>
      </c>
      <c r="AL54" s="13">
        <f>'TR TUSD'!$AL$56</f>
        <v>47586.856917433826</v>
      </c>
      <c r="AM54" s="13">
        <f>CUSTOS!$D$29</f>
        <v>18457190.001831315</v>
      </c>
    </row>
    <row r="55" spans="1:42" ht="11.25" customHeight="1" x14ac:dyDescent="0.3">
      <c r="K55" s="16" t="s">
        <v>466</v>
      </c>
      <c r="L55" s="13">
        <f>CUSTOS!$E$2</f>
        <v>0</v>
      </c>
      <c r="M55" s="13">
        <f>CUSTOS!$E$3</f>
        <v>-853.90027895057767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-120209.74283909067</v>
      </c>
      <c r="R55" s="13">
        <f>CUSTOS!$E$8</f>
        <v>-24479.030390304055</v>
      </c>
      <c r="S55" s="13">
        <f>CUSTOS!$E$9</f>
        <v>0</v>
      </c>
      <c r="T55" s="13">
        <f>CUSTOS!$E$10</f>
        <v>-145542.67350834529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101885.57692599652</v>
      </c>
      <c r="Z55" s="13">
        <f>CUSTOS!$E$16</f>
        <v>0</v>
      </c>
      <c r="AA55" s="13">
        <f>CUSTOS!$E$17</f>
        <v>0</v>
      </c>
      <c r="AB55" s="13">
        <f>CUSTOS!$E$18</f>
        <v>101885.57692599652</v>
      </c>
      <c r="AC55" s="13">
        <f>CUSTOS!$E$19</f>
        <v>-3626354.5267763063</v>
      </c>
      <c r="AD55" s="13">
        <f>CUSTOS!$E$20</f>
        <v>-3626354.5267763063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654.8741056701972</v>
      </c>
      <c r="AI55" s="13">
        <f>CUSTOS!$E$25</f>
        <v>26.464948123072343</v>
      </c>
      <c r="AJ55" s="13">
        <f>CUSTOS!$E$26</f>
        <v>0</v>
      </c>
      <c r="AK55" s="13">
        <f>CUSTOS!$E$27</f>
        <v>0</v>
      </c>
      <c r="AL55" s="13">
        <f>CUSTOS!$E$28</f>
        <v>681.3390537932695</v>
      </c>
      <c r="AM55" s="13">
        <f>CUSTOS!$E$29</f>
        <v>-3669330.2843048619</v>
      </c>
    </row>
    <row r="56" spans="1:42" ht="11.25" customHeight="1" x14ac:dyDescent="0.3">
      <c r="K56" s="16" t="s">
        <v>467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530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3">
      <c r="K58" s="16" t="s">
        <v>534</v>
      </c>
      <c r="L58" s="13">
        <f t="shared" ref="L58:R58" si="0">IF((L53-(0))&lt;&gt;0,(L55)/(L53-(0)),0)</f>
        <v>0</v>
      </c>
      <c r="M58" s="13">
        <f t="shared" si="0"/>
        <v>-1.8553484860468344E-2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-3.6490381994570831E-2</v>
      </c>
      <c r="R58" s="13">
        <f t="shared" si="0"/>
        <v>-4.2393288152796443E-2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2.4198213216428024E-2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-0.35270991211755215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1.4317799029581541E-2</v>
      </c>
      <c r="AI58" s="13">
        <f>IF((AI53-(0))&lt;&gt;0,(AI55)/(AI53-(0)),0)</f>
        <v>1.4317799029581541E-2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48" priority="55" operator="notEqual">
      <formula>$L$54-$L$57</formula>
    </cfRule>
    <cfRule type="cellIs" dxfId="847" priority="56" operator="equal">
      <formula>$L$54-$L$57</formula>
    </cfRule>
  </conditionalFormatting>
  <conditionalFormatting sqref="M53">
    <cfRule type="cellIs" dxfId="846" priority="53" operator="notEqual">
      <formula>$M$54-$M$57</formula>
    </cfRule>
    <cfRule type="cellIs" dxfId="845" priority="54" operator="equal">
      <formula>$M$54-$M$57</formula>
    </cfRule>
  </conditionalFormatting>
  <conditionalFormatting sqref="N53">
    <cfRule type="cellIs" dxfId="844" priority="51" operator="notEqual">
      <formula>$N$54-$N$57</formula>
    </cfRule>
    <cfRule type="cellIs" dxfId="843" priority="52" operator="equal">
      <formula>$N$54-$N$57</formula>
    </cfRule>
  </conditionalFormatting>
  <conditionalFormatting sqref="O53">
    <cfRule type="cellIs" dxfId="842" priority="49" operator="notEqual">
      <formula>$O$54-$O$57</formula>
    </cfRule>
    <cfRule type="cellIs" dxfId="841" priority="50" operator="equal">
      <formula>$O$54-$O$57</formula>
    </cfRule>
  </conditionalFormatting>
  <conditionalFormatting sqref="P53">
    <cfRule type="cellIs" dxfId="840" priority="47" operator="notEqual">
      <formula>$P$54-$P$57</formula>
    </cfRule>
    <cfRule type="cellIs" dxfId="839" priority="48" operator="equal">
      <formula>$P$54-$P$57</formula>
    </cfRule>
  </conditionalFormatting>
  <conditionalFormatting sqref="Q53">
    <cfRule type="cellIs" dxfId="838" priority="45" operator="notEqual">
      <formula>$Q$54-$Q$57</formula>
    </cfRule>
    <cfRule type="cellIs" dxfId="837" priority="46" operator="equal">
      <formula>$Q$54-$Q$57</formula>
    </cfRule>
  </conditionalFormatting>
  <conditionalFormatting sqref="R53">
    <cfRule type="cellIs" dxfId="836" priority="43" operator="notEqual">
      <formula>$R$54-$R$57</formula>
    </cfRule>
    <cfRule type="cellIs" dxfId="835" priority="44" operator="equal">
      <formula>$R$54-$R$57</formula>
    </cfRule>
  </conditionalFormatting>
  <conditionalFormatting sqref="S53">
    <cfRule type="cellIs" dxfId="834" priority="41" operator="notEqual">
      <formula>$S$54-$S$57</formula>
    </cfRule>
    <cfRule type="cellIs" dxfId="833" priority="42" operator="equal">
      <formula>$S$54-$S$57</formula>
    </cfRule>
  </conditionalFormatting>
  <conditionalFormatting sqref="T53">
    <cfRule type="cellIs" dxfId="832" priority="39" operator="notEqual">
      <formula>$T$54-$T$57</formula>
    </cfRule>
    <cfRule type="cellIs" dxfId="831" priority="40" operator="equal">
      <formula>$T$54-$T$57</formula>
    </cfRule>
  </conditionalFormatting>
  <conditionalFormatting sqref="U53">
    <cfRule type="cellIs" dxfId="830" priority="37" operator="notEqual">
      <formula>$U$54-$U$57</formula>
    </cfRule>
    <cfRule type="cellIs" dxfId="829" priority="38" operator="equal">
      <formula>$U$54-$U$57</formula>
    </cfRule>
  </conditionalFormatting>
  <conditionalFormatting sqref="V53">
    <cfRule type="cellIs" dxfId="828" priority="35" operator="notEqual">
      <formula>$V$54-$V$57</formula>
    </cfRule>
    <cfRule type="cellIs" dxfId="827" priority="36" operator="equal">
      <formula>$V$54-$V$57</formula>
    </cfRule>
  </conditionalFormatting>
  <conditionalFormatting sqref="W53">
    <cfRule type="cellIs" dxfId="826" priority="33" operator="notEqual">
      <formula>$W$54-$W$57</formula>
    </cfRule>
    <cfRule type="cellIs" dxfId="825" priority="34" operator="equal">
      <formula>$W$54-$W$57</formula>
    </cfRule>
  </conditionalFormatting>
  <conditionalFormatting sqref="X53">
    <cfRule type="cellIs" dxfId="824" priority="31" operator="notEqual">
      <formula>$X$54-$X$57</formula>
    </cfRule>
    <cfRule type="cellIs" dxfId="823" priority="32" operator="equal">
      <formula>$X$54-$X$57</formula>
    </cfRule>
  </conditionalFormatting>
  <conditionalFormatting sqref="Y53">
    <cfRule type="cellIs" dxfId="822" priority="29" operator="notEqual">
      <formula>$Y$54-$Y$57</formula>
    </cfRule>
    <cfRule type="cellIs" dxfId="821" priority="30" operator="equal">
      <formula>$Y$54-$Y$57</formula>
    </cfRule>
  </conditionalFormatting>
  <conditionalFormatting sqref="Z53">
    <cfRule type="cellIs" dxfId="820" priority="27" operator="notEqual">
      <formula>$Z$54-$Z$57</formula>
    </cfRule>
    <cfRule type="cellIs" dxfId="819" priority="28" operator="equal">
      <formula>$Z$54-$Z$57</formula>
    </cfRule>
  </conditionalFormatting>
  <conditionalFormatting sqref="AA53">
    <cfRule type="cellIs" dxfId="818" priority="25" operator="notEqual">
      <formula>$AA$54-$AA$57</formula>
    </cfRule>
    <cfRule type="cellIs" dxfId="817" priority="26" operator="equal">
      <formula>$AA$54-$AA$57</formula>
    </cfRule>
  </conditionalFormatting>
  <conditionalFormatting sqref="AB53">
    <cfRule type="cellIs" dxfId="816" priority="23" operator="notEqual">
      <formula>$AB$54-$AB$57</formula>
    </cfRule>
    <cfRule type="cellIs" dxfId="815" priority="24" operator="equal">
      <formula>$AB$54-$AB$57</formula>
    </cfRule>
  </conditionalFormatting>
  <conditionalFormatting sqref="AC53">
    <cfRule type="cellIs" dxfId="814" priority="21" operator="notEqual">
      <formula>$AC$54-$AC$57</formula>
    </cfRule>
    <cfRule type="cellIs" dxfId="813" priority="22" operator="equal">
      <formula>$AC$54-$AC$57</formula>
    </cfRule>
  </conditionalFormatting>
  <conditionalFormatting sqref="AD53">
    <cfRule type="cellIs" dxfId="812" priority="19" operator="notEqual">
      <formula>$AD$54-$AD$57</formula>
    </cfRule>
    <cfRule type="cellIs" dxfId="811" priority="20" operator="equal">
      <formula>$AD$54-$AD$57</formula>
    </cfRule>
  </conditionalFormatting>
  <conditionalFormatting sqref="AE53">
    <cfRule type="cellIs" dxfId="810" priority="17" operator="notEqual">
      <formula>$AE$54-$AE$57</formula>
    </cfRule>
    <cfRule type="cellIs" dxfId="809" priority="18" operator="equal">
      <formula>$AE$54-$AE$57</formula>
    </cfRule>
  </conditionalFormatting>
  <conditionalFormatting sqref="AF53">
    <cfRule type="cellIs" dxfId="808" priority="16" operator="equal">
      <formula>$AF$54-$AF$57</formula>
    </cfRule>
  </conditionalFormatting>
  <conditionalFormatting sqref="AF53">
    <cfRule type="cellIs" dxfId="807" priority="15" operator="notEqual">
      <formula>$AF$54-$AF$57</formula>
    </cfRule>
  </conditionalFormatting>
  <conditionalFormatting sqref="AG53">
    <cfRule type="cellIs" dxfId="806" priority="14" operator="equal">
      <formula>$AG$54-$AG$57</formula>
    </cfRule>
  </conditionalFormatting>
  <conditionalFormatting sqref="AG53">
    <cfRule type="cellIs" dxfId="805" priority="13" operator="notEqual">
      <formula>$AG$54-$AG$57</formula>
    </cfRule>
  </conditionalFormatting>
  <conditionalFormatting sqref="AH53">
    <cfRule type="cellIs" dxfId="804" priority="12" operator="equal">
      <formula>$AH$54-$AH$57</formula>
    </cfRule>
  </conditionalFormatting>
  <conditionalFormatting sqref="AH53">
    <cfRule type="cellIs" dxfId="803" priority="11" operator="notEqual">
      <formula>$AH$54-$AH$57</formula>
    </cfRule>
  </conditionalFormatting>
  <conditionalFormatting sqref="AI53">
    <cfRule type="cellIs" dxfId="802" priority="10" operator="equal">
      <formula>$AI$54-$AI$57</formula>
    </cfRule>
  </conditionalFormatting>
  <conditionalFormatting sqref="AI53">
    <cfRule type="cellIs" dxfId="801" priority="9" operator="notEqual">
      <formula>$AI$54-$AI$57</formula>
    </cfRule>
  </conditionalFormatting>
  <conditionalFormatting sqref="AJ53">
    <cfRule type="cellIs" dxfId="800" priority="8" operator="equal">
      <formula>$AJ$54-$AJ$57</formula>
    </cfRule>
  </conditionalFormatting>
  <conditionalFormatting sqref="AJ53">
    <cfRule type="cellIs" dxfId="799" priority="7" operator="notEqual">
      <formula>$AJ$54-$AJ$57</formula>
    </cfRule>
  </conditionalFormatting>
  <conditionalFormatting sqref="AK53">
    <cfRule type="cellIs" dxfId="798" priority="6" operator="equal">
      <formula>$AK$54-$AK$57</formula>
    </cfRule>
  </conditionalFormatting>
  <conditionalFormatting sqref="AK53">
    <cfRule type="cellIs" dxfId="797" priority="5" operator="notEqual">
      <formula>$AK$54-$AK$57</formula>
    </cfRule>
  </conditionalFormatting>
  <conditionalFormatting sqref="AL53">
    <cfRule type="cellIs" dxfId="796" priority="4" operator="equal">
      <formula>$AL$54-$AL$57</formula>
    </cfRule>
  </conditionalFormatting>
  <conditionalFormatting sqref="AL53">
    <cfRule type="cellIs" dxfId="795" priority="3" operator="notEqual">
      <formula>$AL$54-$AL$57</formula>
    </cfRule>
  </conditionalFormatting>
  <conditionalFormatting sqref="AM53">
    <cfRule type="cellIs" dxfId="794" priority="2" operator="equal">
      <formula>$AM$54-$AM$57</formula>
    </cfRule>
  </conditionalFormatting>
  <conditionalFormatting sqref="AM53">
    <cfRule type="cellIs" dxfId="793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410D-7F3B-42EF-9429-563A12D77082}">
  <dimension ref="A1:AP58"/>
  <sheetViews>
    <sheetView showGridLines="0" topLeftCell="AC29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93" t="s">
        <v>62</v>
      </c>
      <c r="B1" s="93" t="s">
        <v>63</v>
      </c>
      <c r="C1" s="93" t="s">
        <v>64</v>
      </c>
      <c r="D1" s="93" t="s">
        <v>65</v>
      </c>
      <c r="E1" s="93" t="s">
        <v>66</v>
      </c>
      <c r="F1" s="93" t="s">
        <v>15</v>
      </c>
      <c r="G1" s="93" t="s">
        <v>68</v>
      </c>
      <c r="H1" s="93" t="s">
        <v>69</v>
      </c>
      <c r="I1" s="93" t="s">
        <v>524</v>
      </c>
      <c r="J1" s="85"/>
      <c r="L1" s="94" t="s">
        <v>541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O1" s="26"/>
      <c r="AP1" s="97" t="s">
        <v>526</v>
      </c>
    </row>
    <row r="2" spans="1:42" ht="11.25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85"/>
      <c r="L2" s="94" t="s">
        <v>423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O2" s="26"/>
      <c r="AP2" s="98"/>
    </row>
    <row r="3" spans="1:42" ht="11.25" customHeight="1" x14ac:dyDescent="0.3">
      <c r="A3" s="93"/>
      <c r="B3" s="93"/>
      <c r="C3" s="93"/>
      <c r="D3" s="93"/>
      <c r="E3" s="93"/>
      <c r="F3" s="93"/>
      <c r="G3" s="93"/>
      <c r="H3" s="93"/>
      <c r="I3" s="93"/>
      <c r="J3" s="85"/>
      <c r="L3" s="94" t="s">
        <v>424</v>
      </c>
      <c r="M3" s="94"/>
      <c r="N3" s="94"/>
      <c r="O3" s="94"/>
      <c r="P3" s="94"/>
      <c r="Q3" s="94"/>
      <c r="R3" s="94"/>
      <c r="S3" s="94"/>
      <c r="T3" s="94"/>
      <c r="U3" s="94" t="s">
        <v>433</v>
      </c>
      <c r="V3" s="94"/>
      <c r="W3" s="94"/>
      <c r="X3" s="94"/>
      <c r="Y3" s="94"/>
      <c r="Z3" s="94"/>
      <c r="AA3" s="94"/>
      <c r="AB3" s="94"/>
      <c r="AC3" s="94" t="s">
        <v>441</v>
      </c>
      <c r="AD3" s="94"/>
      <c r="AE3" s="94" t="s">
        <v>443</v>
      </c>
      <c r="AF3" s="94"/>
      <c r="AG3" s="94"/>
      <c r="AH3" s="94" t="s">
        <v>446</v>
      </c>
      <c r="AI3" s="94"/>
      <c r="AJ3" s="94"/>
      <c r="AK3" s="94"/>
      <c r="AL3" s="94"/>
      <c r="AM3" s="94" t="s">
        <v>432</v>
      </c>
      <c r="AO3" s="26"/>
      <c r="AP3" s="98"/>
    </row>
    <row r="4" spans="1:42" ht="11.25" customHeight="1" x14ac:dyDescent="0.3">
      <c r="A4" s="93"/>
      <c r="B4" s="93"/>
      <c r="C4" s="93"/>
      <c r="D4" s="93"/>
      <c r="E4" s="93"/>
      <c r="F4" s="93"/>
      <c r="G4" s="93"/>
      <c r="H4" s="93"/>
      <c r="I4" s="93"/>
      <c r="J4" s="85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6"/>
      <c r="AO4" s="27" t="s">
        <v>543</v>
      </c>
      <c r="AP4" s="99"/>
    </row>
    <row r="5" spans="1:42" ht="11.25" customHeight="1" x14ac:dyDescent="0.3">
      <c r="A5" s="92" t="s">
        <v>35</v>
      </c>
      <c r="B5" s="92" t="s">
        <v>75</v>
      </c>
      <c r="C5" s="92" t="s">
        <v>25</v>
      </c>
      <c r="D5" s="92" t="s">
        <v>25</v>
      </c>
      <c r="E5" s="92" t="s">
        <v>25</v>
      </c>
      <c r="F5" s="92" t="s">
        <v>25</v>
      </c>
      <c r="G5" s="24" t="s">
        <v>77</v>
      </c>
      <c r="H5" s="24" t="s">
        <v>76</v>
      </c>
      <c r="I5" s="24">
        <f>'MERCADO TUSD'!$U$2</f>
        <v>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0.86198346175744223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0.86198346175744223</v>
      </c>
      <c r="AC5" s="13">
        <f>'TUSD BE'!$AC$5*'TUSD BE'!$AC$58</f>
        <v>-29.397869843199363</v>
      </c>
      <c r="AD5" s="13">
        <f>SUM($AC$5:$AC$5)</f>
        <v>-29.397869843199363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-28.535886381441919</v>
      </c>
      <c r="AO5" s="26">
        <f ca="1">+'TUSD BE'!$T$5+'TUSD BE'!$AB$5+'TUSD BE'!$AD$5+'TUSD BE'!$AL$5</f>
        <v>118.97036004058782</v>
      </c>
      <c r="AP5" s="26">
        <f ca="1">+'TUSD BE'!$T$5+'TUSD BE'!$AB$5+'TUSD BE'!$AD$5+'TUSD BE'!$AL$5</f>
        <v>118.97036004058782</v>
      </c>
    </row>
    <row r="6" spans="1:42" ht="11.25" customHeight="1" x14ac:dyDescent="0.3">
      <c r="A6" s="92"/>
      <c r="B6" s="92"/>
      <c r="C6" s="92"/>
      <c r="D6" s="92"/>
      <c r="E6" s="92"/>
      <c r="F6" s="92"/>
      <c r="G6" s="24" t="s">
        <v>78</v>
      </c>
      <c r="H6" s="24" t="s">
        <v>76</v>
      </c>
      <c r="I6" s="24">
        <f>'MERCADO TUSD'!$U$3</f>
        <v>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0.34840180612988331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0.34840180612988331</v>
      </c>
      <c r="AC6" s="13">
        <f>'TUSD BE'!$AC$6*'TUSD BE'!$AC$58</f>
        <v>-8.2147497930611859</v>
      </c>
      <c r="AD6" s="13">
        <f>SUM($AC$6:$AC$6)</f>
        <v>-8.2147497930611859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-7.8663479869313022</v>
      </c>
      <c r="AO6" s="26">
        <f ca="1">+'TUSD BE'!$T$6+'TUSD BE'!$AB$6+'TUSD BE'!$AD$6+'TUSD BE'!$AL$6</f>
        <v>37.688217313754656</v>
      </c>
      <c r="AP6" s="26">
        <f ca="1">+'TUSD BE'!$T$6+'TUSD BE'!$AB$6+'TUSD BE'!$AD$6+'TUSD BE'!$AL$6</f>
        <v>37.688217313754656</v>
      </c>
    </row>
    <row r="7" spans="1:42" ht="11.25" customHeight="1" x14ac:dyDescent="0.3">
      <c r="A7" s="92"/>
      <c r="B7" s="92"/>
      <c r="C7" s="92"/>
      <c r="D7" s="92"/>
      <c r="E7" s="92"/>
      <c r="F7" s="92"/>
      <c r="G7" s="24" t="s">
        <v>79</v>
      </c>
      <c r="H7" s="24" t="s">
        <v>72</v>
      </c>
      <c r="I7" s="24">
        <f>'MERCADO TUSD'!$U$4</f>
        <v>0</v>
      </c>
      <c r="J7" s="15"/>
      <c r="L7" s="13">
        <f>'TUSD BE'!$L$7*'TUSD BE'!$L$58</f>
        <v>0</v>
      </c>
      <c r="M7" s="13">
        <f>'TUSD BE'!$M$7*'TUSD BE'!$M$58</f>
        <v>-1.5987447598377509E-2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-2.7799315088419396</v>
      </c>
      <c r="R7" s="13">
        <f>'TUSD BE'!$R$7*'TUSD BE'!$R$58</f>
        <v>-0.60710659186546168</v>
      </c>
      <c r="S7" s="13">
        <f>'TUSD BE'!$R$7*'TUSD BE'!$S$58</f>
        <v>0</v>
      </c>
      <c r="T7" s="13">
        <f ca="1">SUM($L$7:$S$7)</f>
        <v>-3.403025548305779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9.9465708772112915E-3</v>
      </c>
      <c r="AI7" s="13">
        <f>'TUSD BE'!$AI$7*'TUSD BE'!$AI$58</f>
        <v>4.019634918966054E-4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1.0348534369107897E-2</v>
      </c>
      <c r="AM7" s="13">
        <f ca="1">SUMIF($L$4:$AL$4,"SUBTOTAL",$L$7:$AL$7)</f>
        <v>-3.3926770139366709</v>
      </c>
      <c r="AO7" s="26">
        <f ca="1">+'TUSD BE'!$T$7+'TUSD BE'!$AB$7+'TUSD BE'!$AD$7+'TUSD BE'!$AL$7</f>
        <v>92.087869627892672</v>
      </c>
      <c r="AP7" s="26">
        <f ca="1">+'TUSD BE'!$T$7+'TUSD BE'!$AB$7+'TUSD BE'!$AD$7+'TUSD BE'!$AL$7</f>
        <v>92.087869627892672</v>
      </c>
    </row>
    <row r="8" spans="1:42" ht="11.25" customHeight="1" x14ac:dyDescent="0.3">
      <c r="A8" s="92"/>
      <c r="B8" s="92"/>
      <c r="C8" s="92"/>
      <c r="D8" s="92"/>
      <c r="E8" s="23" t="s">
        <v>80</v>
      </c>
      <c r="F8" s="23" t="s">
        <v>25</v>
      </c>
      <c r="G8" s="24" t="s">
        <v>79</v>
      </c>
      <c r="H8" s="24" t="s">
        <v>72</v>
      </c>
      <c r="I8" s="24">
        <f>'MERCADO TUSD'!$U$5</f>
        <v>0</v>
      </c>
      <c r="J8" s="15"/>
      <c r="L8" s="13">
        <f>'TUSD BE'!$L$8*'TUSD BE'!$L$58</f>
        <v>0</v>
      </c>
      <c r="M8" s="13">
        <f>'TUSD BE'!$M$8*'TUSD BE'!$M$58</f>
        <v>-1.5987447598377509E-2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-1.5987447598377509E-2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9.9465708772112915E-3</v>
      </c>
      <c r="AI8" s="13">
        <f>'TUSD BE'!$AI$8*'TUSD BE'!$AI$58</f>
        <v>4.019634918966054E-4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1.0348534369107897E-2</v>
      </c>
      <c r="AM8" s="13">
        <f ca="1">SUMIF($L$4:$AL$4,"SUBTOTAL",$L$8:$AL$8)</f>
        <v>-5.6389132292696126E-3</v>
      </c>
      <c r="AO8" s="26">
        <f ca="1">+'TUSD BE'!$T$8+'TUSD BE'!$AB$8+'TUSD BE'!$AD$8+'TUSD BE'!$AL$8</f>
        <v>1.5844692369692825</v>
      </c>
      <c r="AP8" s="26">
        <f ca="1">+'TUSD BE'!$T$8+'TUSD BE'!$AB$8+'TUSD BE'!$AD$8+'TUSD BE'!$AL$8</f>
        <v>1.5844692369692825</v>
      </c>
    </row>
    <row r="9" spans="1:42" ht="11.25" customHeight="1" x14ac:dyDescent="0.3">
      <c r="A9" s="92"/>
      <c r="B9" s="23" t="s">
        <v>81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76</v>
      </c>
      <c r="I9" s="24">
        <f>'MERCADO TUSD'!$U$6</f>
        <v>0</v>
      </c>
      <c r="J9" s="15"/>
      <c r="L9" s="13">
        <f>'TUSD BE'!$L$9*'TUSD BE'!$L$58</f>
        <v>0</v>
      </c>
      <c r="M9" s="13">
        <f>'TUSD BE'!$M$9*'TUSD BE'!$M$58</f>
        <v>-1.9839044274522994E-4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-1.9839044274522994E-4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-3.716365718225521</v>
      </c>
      <c r="AD9" s="13">
        <f>SUM($AC$9:$AC$9)</f>
        <v>-3.716365718225521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-3.7165641086682664</v>
      </c>
      <c r="AO9" s="26">
        <f ca="1">+'TUSD BE'!$T$9+'TUSD BE'!$AB$9+'TUSD BE'!$AD$9+'TUSD BE'!$AL$9</f>
        <v>10.547299863262342</v>
      </c>
      <c r="AP9" s="26">
        <f ca="1">+'TUSD BE'!$T$9+'TUSD BE'!$AB$9+'TUSD BE'!$AD$9+'TUSD BE'!$AL$9</f>
        <v>10.547299863262342</v>
      </c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24" t="s">
        <v>9</v>
      </c>
      <c r="H10" s="24" t="s">
        <v>76</v>
      </c>
      <c r="I10" s="24">
        <f>'MERCADO TUSD'!$U$7</f>
        <v>72477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0.34840180612988331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0.34840180612988331</v>
      </c>
      <c r="AC10" s="13">
        <f>'TUSD BE'!$AC$10*'TUSD BE'!$AC$58</f>
        <v>-8.2147497930611859</v>
      </c>
      <c r="AD10" s="13">
        <f>SUM($AC$10:$AC$10)</f>
        <v>-8.2147497930611859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-7.8663479869313022</v>
      </c>
      <c r="AO10" s="26">
        <f ca="1">+'TUSD BE'!$T$10+'TUSD BE'!$AB$10+'TUSD BE'!$AD$10+'TUSD BE'!$AL$10</f>
        <v>37.688217313754656</v>
      </c>
      <c r="AP10" s="26">
        <f ca="1">+'TUSD BE'!$T$10+'TUSD BE'!$AB$10+'TUSD BE'!$AD$10+'TUSD BE'!$AL$10</f>
        <v>37.688217313754656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24" t="s">
        <v>73</v>
      </c>
      <c r="H11" s="24" t="s">
        <v>72</v>
      </c>
      <c r="I11" s="24">
        <f>'MERCADO TUSD'!$U$8</f>
        <v>1557.202</v>
      </c>
      <c r="J11" s="15"/>
      <c r="L11" s="13">
        <f>'TUSD BE'!$L$11*'TUSD BE'!$L$58</f>
        <v>0</v>
      </c>
      <c r="M11" s="13">
        <f>'TUSD BE'!$M$11*'TUSD BE'!$M$58</f>
        <v>-1.5987447598377509E-2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-2.7799315088419396</v>
      </c>
      <c r="R11" s="13">
        <f>'TUSD BE'!$R$11*'TUSD BE'!$R$58</f>
        <v>-0.60710659186546168</v>
      </c>
      <c r="S11" s="13">
        <f>'TUSD BE'!$R$11*'TUSD BE'!$S$58</f>
        <v>0</v>
      </c>
      <c r="T11" s="13">
        <f ca="1">SUM($L$11:$S$11)</f>
        <v>-3.403025548305779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20.738959988916523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20.738959988916523</v>
      </c>
      <c r="AC11" s="13">
        <f>'TUSD BE'!$AC$11*'TUSD BE'!$AC$58</f>
        <v>-707.01936499014823</v>
      </c>
      <c r="AD11" s="13">
        <f>SUM($AC$11:$AC$11)</f>
        <v>-707.01936499014823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9.9465708772112915E-3</v>
      </c>
      <c r="AI11" s="13">
        <f>'TUSD BE'!$AI$11*'TUSD BE'!$AI$58</f>
        <v>4.019634918966054E-4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1.0348534369107897E-2</v>
      </c>
      <c r="AM11" s="13">
        <f ca="1">SUMIF($L$4:$AL$4,"SUBTOTAL",$L$11:$AL$11)</f>
        <v>-689.67308201516835</v>
      </c>
      <c r="AO11" s="26">
        <f ca="1">+'TUSD BE'!$T$11+'TUSD BE'!$AB$11+'TUSD BE'!$AD$11+'TUSD BE'!$AL$11</f>
        <v>2953.6679701426633</v>
      </c>
      <c r="AP11" s="26">
        <f ca="1">+'TUSD BE'!$T$11+'TUSD BE'!$AB$11+'TUSD BE'!$AD$11+'TUSD BE'!$AL$11</f>
        <v>2953.6679701426633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24" t="s">
        <v>74</v>
      </c>
      <c r="H12" s="24" t="s">
        <v>72</v>
      </c>
      <c r="I12" s="24">
        <f>'MERCADO TUSD'!$U$9</f>
        <v>23427.474000000002</v>
      </c>
      <c r="J12" s="15"/>
      <c r="L12" s="13">
        <f>'TUSD BE'!$L$12*'TUSD BE'!$L$58</f>
        <v>0</v>
      </c>
      <c r="M12" s="13">
        <f>'TUSD BE'!$M$12*'TUSD BE'!$M$58</f>
        <v>-1.5987447598377509E-2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-2.7799315088419396</v>
      </c>
      <c r="R12" s="13">
        <f>'TUSD BE'!$R$12*'TUSD BE'!$R$58</f>
        <v>-0.60710659186546168</v>
      </c>
      <c r="S12" s="13">
        <f>'TUSD BE'!$R$12*'TUSD BE'!$S$58</f>
        <v>0</v>
      </c>
      <c r="T12" s="13">
        <f ca="1">SUM($L$12:$S$12)</f>
        <v>-3.403025548305779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9.9465708772112915E-3</v>
      </c>
      <c r="AI12" s="13">
        <f>'TUSD BE'!$AI$12*'TUSD BE'!$AI$58</f>
        <v>4.019634918966054E-4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1.0348534369107897E-2</v>
      </c>
      <c r="AM12" s="13">
        <f ca="1">SUMIF($L$4:$AL$4,"SUBTOTAL",$L$12:$AL$12)</f>
        <v>-3.3926770139366709</v>
      </c>
      <c r="AO12" s="26">
        <f ca="1">+'TUSD BE'!$T$12+'TUSD BE'!$AB$12+'TUSD BE'!$AD$12+'TUSD BE'!$AL$12</f>
        <v>92.087869627892672</v>
      </c>
      <c r="AP12" s="26">
        <f ca="1">+'TUSD BE'!$T$12+'TUSD BE'!$AB$12+'TUSD BE'!$AD$12+'TUSD BE'!$AL$12</f>
        <v>92.087869627892672</v>
      </c>
    </row>
    <row r="13" spans="1:42" ht="11.25" customHeight="1" x14ac:dyDescent="0.3">
      <c r="A13" s="92"/>
      <c r="B13" s="92"/>
      <c r="C13" s="92"/>
      <c r="D13" s="92"/>
      <c r="E13" s="92" t="s">
        <v>80</v>
      </c>
      <c r="F13" s="92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'TUSD BE'!$L$13*'TUSD BE'!$L$58</f>
        <v>0</v>
      </c>
      <c r="M13" s="13">
        <f>'TUSD BE'!$M$13*'TUSD BE'!$M$58</f>
        <v>-1.5987447598377509E-2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-1.5987447598377509E-2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20.738959988916523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20.738959988916523</v>
      </c>
      <c r="AC13" s="13">
        <f>'TUSD BE'!$AC$13*'TUSD BE'!$AC$58</f>
        <v>-707.01936499014823</v>
      </c>
      <c r="AD13" s="13">
        <f>SUM($AC$13:$AC$13)</f>
        <v>-707.01936499014823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9.9465708772112915E-3</v>
      </c>
      <c r="AI13" s="13">
        <f>'TUSD BE'!$AI$13*'TUSD BE'!$AI$58</f>
        <v>4.019634918966054E-4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1.0348534369107897E-2</v>
      </c>
      <c r="AM13" s="13">
        <f ca="1">SUMIF($L$4:$AL$4,"SUBTOTAL",$L$13:$AL$13)</f>
        <v>-686.28604391446095</v>
      </c>
      <c r="AO13" s="26">
        <f ca="1">+'TUSD BE'!$T$13+'TUSD BE'!$AB$13+'TUSD BE'!$AD$13+'TUSD BE'!$AL$13</f>
        <v>2863.1645697517401</v>
      </c>
      <c r="AP13" s="26">
        <f ca="1">+'TUSD BE'!$T$13+'TUSD BE'!$AB$13+'TUSD BE'!$AD$13+'TUSD BE'!$AL$13</f>
        <v>2863.1645697517401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24" t="s">
        <v>74</v>
      </c>
      <c r="H14" s="24" t="s">
        <v>72</v>
      </c>
      <c r="I14" s="24">
        <f>'MERCADO TUSD'!$U$11</f>
        <v>0</v>
      </c>
      <c r="J14" s="15"/>
      <c r="L14" s="13">
        <f>'TUSD BE'!$L$14*'TUSD BE'!$L$58</f>
        <v>0</v>
      </c>
      <c r="M14" s="13">
        <f>'TUSD BE'!$M$14*'TUSD BE'!$M$58</f>
        <v>-1.5987447598377509E-2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-1.5987447598377509E-2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9.9465708772112915E-3</v>
      </c>
      <c r="AI14" s="13">
        <f>'TUSD BE'!$AI$14*'TUSD BE'!$AI$58</f>
        <v>4.019634918966054E-4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1.0348534369107897E-2</v>
      </c>
      <c r="AM14" s="13">
        <f ca="1">SUMIF($L$4:$AL$4,"SUBTOTAL",$L$14:$AL$14)</f>
        <v>-5.6389132292696126E-3</v>
      </c>
      <c r="AO14" s="26">
        <f ca="1">+'TUSD BE'!$T$14+'TUSD BE'!$AB$14+'TUSD BE'!$AD$14+'TUSD BE'!$AL$14</f>
        <v>1.5844692369692825</v>
      </c>
      <c r="AP14" s="26">
        <f ca="1">+'TUSD BE'!$T$14+'TUSD BE'!$AB$14+'TUSD BE'!$AD$14+'TUSD BE'!$AL$14</f>
        <v>1.5844692369692825</v>
      </c>
    </row>
    <row r="15" spans="1:42" ht="11.25" customHeight="1" x14ac:dyDescent="0.3">
      <c r="A15" s="92" t="s">
        <v>82</v>
      </c>
      <c r="B15" s="92" t="s">
        <v>81</v>
      </c>
      <c r="C15" s="92" t="s">
        <v>25</v>
      </c>
      <c r="D15" s="92" t="s">
        <v>25</v>
      </c>
      <c r="E15" s="23" t="s">
        <v>83</v>
      </c>
      <c r="F15" s="23" t="s">
        <v>25</v>
      </c>
      <c r="G15" s="24" t="s">
        <v>9</v>
      </c>
      <c r="H15" s="24" t="s">
        <v>76</v>
      </c>
      <c r="I15" s="24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-2.0405874110937937E-4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-2.0405874110937937E-4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-3.8333853596812628</v>
      </c>
      <c r="AD15" s="13">
        <f>SUM($AC$15:$AC$15)</f>
        <v>-3.8333853596812628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-3.8335894184223722</v>
      </c>
      <c r="AO15" s="26">
        <f ca="1">+'TUSD BE'!$T$15+'TUSD BE'!$AB$15+'TUSD BE'!$AD$15+'TUSD BE'!$AL$15</f>
        <v>10.879378419260176</v>
      </c>
      <c r="AP15" s="26">
        <f ca="1">+'TUSD BE'!$T$15+'TUSD BE'!$AB$15+'TUSD BE'!$AD$15+'TUSD BE'!$AL$15</f>
        <v>10.879378419260176</v>
      </c>
    </row>
    <row r="16" spans="1:42" ht="11.25" customHeight="1" x14ac:dyDescent="0.3">
      <c r="A16" s="92"/>
      <c r="B16" s="92"/>
      <c r="C16" s="92"/>
      <c r="D16" s="92"/>
      <c r="E16" s="23" t="s">
        <v>84</v>
      </c>
      <c r="F16" s="23" t="s">
        <v>25</v>
      </c>
      <c r="G16" s="24" t="s">
        <v>9</v>
      </c>
      <c r="H16" s="24" t="s">
        <v>76</v>
      </c>
      <c r="I16" s="24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-2.0405874110937937E-4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-2.0405874110937937E-4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-7.7992284359317416</v>
      </c>
      <c r="AD16" s="13">
        <f>SUM($AC$16:$AC$16)</f>
        <v>-7.7992284359317416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-7.7994324946728506</v>
      </c>
      <c r="AO16" s="26">
        <f ca="1">+'TUSD BE'!$T$16+'TUSD BE'!$AB$16+'TUSD BE'!$AD$16+'TUSD BE'!$AL$16</f>
        <v>22.123301371243251</v>
      </c>
      <c r="AP16" s="26">
        <f ca="1">+'TUSD BE'!$T$16+'TUSD BE'!$AB$16+'TUSD BE'!$AD$16+'TUSD BE'!$AL$16</f>
        <v>22.123301371243251</v>
      </c>
    </row>
    <row r="17" spans="1:42" ht="11.25" customHeight="1" x14ac:dyDescent="0.3">
      <c r="A17" s="92" t="s">
        <v>22</v>
      </c>
      <c r="B17" s="92" t="s">
        <v>40</v>
      </c>
      <c r="C17" s="92" t="s">
        <v>24</v>
      </c>
      <c r="D17" s="92" t="s">
        <v>24</v>
      </c>
      <c r="E17" s="92" t="s">
        <v>25</v>
      </c>
      <c r="F17" s="92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'TUSD BE'!$L$17*'TUSD BE'!$L$58</f>
        <v>0</v>
      </c>
      <c r="M17" s="13">
        <f>'TUSD BE'!$M$17*'TUSD BE'!$M$58</f>
        <v>-2.8808996589869861E-2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-3.3094422724308807</v>
      </c>
      <c r="R17" s="13">
        <f>'TUSD BE'!$R$17*'TUSD BE'!$R$58</f>
        <v>-0.60710659186546168</v>
      </c>
      <c r="S17" s="13">
        <f>'TUSD BE'!$R$17*'TUSD BE'!$S$58</f>
        <v>0</v>
      </c>
      <c r="T17" s="13">
        <f ca="1">SUM($L$17:$S$17)</f>
        <v>-3.9453578608862125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7.5926713063193043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7.5926713063193043</v>
      </c>
      <c r="AC17" s="13">
        <f>'TUSD BE'!$AC$17*'TUSD BE'!$AC$58</f>
        <v>-330.3400596605461</v>
      </c>
      <c r="AD17" s="13">
        <f>SUM($AC$17:$AC$17)</f>
        <v>-330.3400596605461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2.5760050391949663E-2</v>
      </c>
      <c r="AI17" s="13">
        <f>'TUSD BE'!$AI$17*'TUSD BE'!$AI$58</f>
        <v>1.0410220703000422E-3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2.6801072462249706E-2</v>
      </c>
      <c r="AM17" s="13">
        <f ca="1">SUMIF($L$4:$AL$4,"SUBTOTAL",$L$17:$AL$17)</f>
        <v>-326.66594514265074</v>
      </c>
      <c r="AO17" s="26">
        <f ca="1">+'TUSD BE'!$T$17+'TUSD BE'!$AB$17+'TUSD BE'!$AD$17+'TUSD BE'!$AL$17</f>
        <v>1358.7861019851321</v>
      </c>
      <c r="AP17" s="26">
        <f ca="1">+'TUSD BE'!$T$17+'TUSD BE'!$AB$17+'TUSD BE'!$AD$17+'TUSD BE'!$AL$17</f>
        <v>1358.7861019851321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24" t="s">
        <v>85</v>
      </c>
      <c r="H18" s="24" t="s">
        <v>72</v>
      </c>
      <c r="I18" s="24">
        <f>'MERCADO TUSD'!$U$15</f>
        <v>0</v>
      </c>
      <c r="J18" s="15"/>
      <c r="L18" s="13">
        <f>'TUSD BE'!$L$18*'TUSD BE'!$L$58</f>
        <v>0</v>
      </c>
      <c r="M18" s="13">
        <f>'TUSD BE'!$M$18*'TUSD BE'!$M$58</f>
        <v>-2.8808996589869861E-2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-3.3094422724308807</v>
      </c>
      <c r="R18" s="13">
        <f>'TUSD BE'!$R$18*'TUSD BE'!$R$58</f>
        <v>-0.60710659186546168</v>
      </c>
      <c r="S18" s="13">
        <f>'TUSD BE'!$R$18*'TUSD BE'!$S$58</f>
        <v>0</v>
      </c>
      <c r="T18" s="13">
        <f ca="1">SUM($L$18:$S$18)</f>
        <v>-3.9453578608862125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4.555605301441279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4.555605301441279</v>
      </c>
      <c r="AC18" s="13">
        <f>'TUSD BE'!$AC$18*'TUSD BE'!$AC$58</f>
        <v>-198.20412290772327</v>
      </c>
      <c r="AD18" s="13">
        <f>SUM($AC$18:$AC$18)</f>
        <v>-198.20412290772327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2.5760050391949663E-2</v>
      </c>
      <c r="AI18" s="13">
        <f>'TUSD BE'!$AI$18*'TUSD BE'!$AI$58</f>
        <v>1.0410220703000422E-3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2.6801072462249706E-2</v>
      </c>
      <c r="AM18" s="13">
        <f ca="1">SUMIF($L$4:$AL$4,"SUBTOTAL",$L$18:$AL$18)</f>
        <v>-197.56707439470594</v>
      </c>
      <c r="AO18" s="26">
        <f ca="1">+'TUSD BE'!$T$18+'TUSD BE'!$AB$18+'TUSD BE'!$AD$18+'TUSD BE'!$AL$18</f>
        <v>858.64760951166261</v>
      </c>
      <c r="AP18" s="26">
        <f ca="1">+'TUSD BE'!$T$18+'TUSD BE'!$AB$18+'TUSD BE'!$AD$18+'TUSD BE'!$AL$18</f>
        <v>858.64760951166261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24" t="s">
        <v>74</v>
      </c>
      <c r="H19" s="24" t="s">
        <v>72</v>
      </c>
      <c r="I19" s="24">
        <f>'MERCADO TUSD'!$U$16</f>
        <v>0</v>
      </c>
      <c r="J19" s="15"/>
      <c r="L19" s="13">
        <f>'TUSD BE'!$L$19*'TUSD BE'!$L$58</f>
        <v>0</v>
      </c>
      <c r="M19" s="13">
        <f>'TUSD BE'!$M$19*'TUSD BE'!$M$58</f>
        <v>-2.8808996589869861E-2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-3.3094422724308807</v>
      </c>
      <c r="R19" s="13">
        <f>'TUSD BE'!$R$19*'TUSD BE'!$R$58</f>
        <v>-0.60710659186546168</v>
      </c>
      <c r="S19" s="13">
        <f>'TUSD BE'!$R$19*'TUSD BE'!$S$58</f>
        <v>0</v>
      </c>
      <c r="T19" s="13">
        <f ca="1">SUM($L$19:$S$19)</f>
        <v>-3.9453578608862125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1.519920856833977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1.519920856833977</v>
      </c>
      <c r="AC19" s="13">
        <f>'TUSD BE'!$AC$19*'TUSD BE'!$AC$58</f>
        <v>-66.067944178801525</v>
      </c>
      <c r="AD19" s="13">
        <f>SUM($AC$19:$AC$19)</f>
        <v>-66.067944178801525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2.5760050391949663E-2</v>
      </c>
      <c r="AI19" s="13">
        <f>'TUSD BE'!$AI$19*'TUSD BE'!$AI$58</f>
        <v>1.0410220703000422E-3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2.6801072462249706E-2</v>
      </c>
      <c r="AM19" s="13">
        <f ca="1">SUMIF($L$4:$AL$4,"SUBTOTAL",$L$19:$AL$19)</f>
        <v>-68.466580110391519</v>
      </c>
      <c r="AO19" s="26">
        <f ca="1">+'TUSD BE'!$T$19+'TUSD BE'!$AB$19+'TUSD BE'!$AD$19+'TUSD BE'!$AL$19</f>
        <v>358.56552447254114</v>
      </c>
      <c r="AP19" s="26">
        <f ca="1">+'TUSD BE'!$T$19+'TUSD BE'!$AB$19+'TUSD BE'!$AD$19+'TUSD BE'!$AL$19</f>
        <v>358.56552447254114</v>
      </c>
    </row>
    <row r="20" spans="1:42" ht="11.25" customHeight="1" x14ac:dyDescent="0.3">
      <c r="A20" s="92"/>
      <c r="B20" s="92" t="s">
        <v>23</v>
      </c>
      <c r="C20" s="92" t="s">
        <v>24</v>
      </c>
      <c r="D20" s="23" t="s">
        <v>24</v>
      </c>
      <c r="E20" s="23" t="s">
        <v>25</v>
      </c>
      <c r="F20" s="23" t="s">
        <v>25</v>
      </c>
      <c r="G20" s="24" t="s">
        <v>79</v>
      </c>
      <c r="H20" s="24" t="s">
        <v>72</v>
      </c>
      <c r="I20" s="24">
        <f>'MERCADO TUSD'!$U$17</f>
        <v>5913.8329999999996</v>
      </c>
      <c r="J20" s="15"/>
      <c r="L20" s="13">
        <f>'TUSD BE'!$L$20*'TUSD BE'!$L$58</f>
        <v>0</v>
      </c>
      <c r="M20" s="13">
        <f>'TUSD BE'!$M$20*'TUSD BE'!$M$58</f>
        <v>-2.8808996589869861E-2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-3.3094422724308807</v>
      </c>
      <c r="R20" s="13">
        <f>'TUSD BE'!$R$20*'TUSD BE'!$R$58</f>
        <v>-0.60710659186546168</v>
      </c>
      <c r="S20" s="13">
        <f>'TUSD BE'!$R$20*'TUSD BE'!$S$58</f>
        <v>0</v>
      </c>
      <c r="T20" s="13">
        <f ca="1">SUM($L$20:$S$20)</f>
        <v>-3.9453578608862125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2.8108174149398146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2.8108174149398146</v>
      </c>
      <c r="AC20" s="13">
        <f>'TUSD BE'!$AC$20*'TUSD BE'!$AC$58</f>
        <v>-122.34819713087992</v>
      </c>
      <c r="AD20" s="13">
        <f>SUM($AC$20:$AC$20)</f>
        <v>-122.34819713087992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2.5760050391949663E-2</v>
      </c>
      <c r="AI20" s="13">
        <f>'TUSD BE'!$AI$20*'TUSD BE'!$AI$58</f>
        <v>1.0410220703000422E-3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2.6801072462249706E-2</v>
      </c>
      <c r="AM20" s="13">
        <f ca="1">SUMIF($L$4:$AL$4,"SUBTOTAL",$L$20:$AL$20)</f>
        <v>-123.45593650436408</v>
      </c>
      <c r="AO20" s="26">
        <f ca="1">+'TUSD BE'!$T$20+'TUSD BE'!$AB$20+'TUSD BE'!$AD$20+'TUSD BE'!$AL$20</f>
        <v>571.47756794167401</v>
      </c>
      <c r="AP20" s="26">
        <f ca="1">+'TUSD BE'!$T$20+'TUSD BE'!$AB$20+'TUSD BE'!$AD$20+'TUSD BE'!$AL$20</f>
        <v>571.47756794167401</v>
      </c>
    </row>
    <row r="21" spans="1:42" ht="11.25" customHeight="1" x14ac:dyDescent="0.3">
      <c r="A21" s="92"/>
      <c r="B21" s="92"/>
      <c r="C21" s="92"/>
      <c r="D21" s="23" t="s">
        <v>29</v>
      </c>
      <c r="E21" s="23" t="s">
        <v>25</v>
      </c>
      <c r="F21" s="23" t="s">
        <v>25</v>
      </c>
      <c r="G21" s="24" t="s">
        <v>79</v>
      </c>
      <c r="H21" s="24" t="s">
        <v>72</v>
      </c>
      <c r="I21" s="24">
        <f>'MERCADO TUSD'!$U$18</f>
        <v>78.629000000000005</v>
      </c>
      <c r="J21" s="15"/>
      <c r="L21" s="13">
        <f>'TUSD BE'!$L$21*'TUSD BE'!$L$58</f>
        <v>0</v>
      </c>
      <c r="M21" s="13">
        <f>'TUSD BE'!$M$21*'TUSD BE'!$M$58</f>
        <v>-2.8808996589869861E-2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-2.8808996589869861E-2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2.8108174149398146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2.8108174149398146</v>
      </c>
      <c r="AC21" s="13">
        <f>'TUSD BE'!$AC$21*'TUSD BE'!$AC$58</f>
        <v>-122.34819713087992</v>
      </c>
      <c r="AD21" s="13">
        <f>SUM($AC$21:$AC$21)</f>
        <v>-122.34819713087992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2.5760050391949663E-2</v>
      </c>
      <c r="AI21" s="13">
        <f>'TUSD BE'!$AI$21*'TUSD BE'!$AI$58</f>
        <v>1.0410220703000422E-3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2.6801072462249706E-2</v>
      </c>
      <c r="AM21" s="13">
        <f ca="1">SUMIF($L$4:$AL$4,"SUBTOTAL",$L$21:$AL$21)</f>
        <v>-119.53938764006773</v>
      </c>
      <c r="AO21" s="26">
        <f ca="1">+'TUSD BE'!$T$21+'TUSD BE'!$AB$21+'TUSD BE'!$AD$21+'TUSD BE'!$AL$21</f>
        <v>466.46319960123111</v>
      </c>
      <c r="AP21" s="26">
        <f ca="1">+'TUSD BE'!$T$21+'TUSD BE'!$AB$21+'TUSD BE'!$AD$21+'TUSD BE'!$AL$21</f>
        <v>466.46319960123111</v>
      </c>
    </row>
    <row r="22" spans="1:42" ht="11.25" customHeight="1" x14ac:dyDescent="0.3">
      <c r="A22" s="92"/>
      <c r="B22" s="92"/>
      <c r="C22" s="92"/>
      <c r="D22" s="23" t="s">
        <v>30</v>
      </c>
      <c r="E22" s="23" t="s">
        <v>25</v>
      </c>
      <c r="F22" s="23" t="s">
        <v>25</v>
      </c>
      <c r="G22" s="24" t="s">
        <v>79</v>
      </c>
      <c r="H22" s="24" t="s">
        <v>72</v>
      </c>
      <c r="I22" s="24">
        <f>'MERCADO TUSD'!$U$19</f>
        <v>159.86900000000003</v>
      </c>
      <c r="J22" s="15"/>
      <c r="L22" s="13">
        <f>'TUSD BE'!$L$22*'TUSD BE'!$L$58</f>
        <v>0</v>
      </c>
      <c r="M22" s="13">
        <f>'TUSD BE'!$M$22*'TUSD BE'!$M$58</f>
        <v>-2.8808996589869861E-2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-2.8808996589869861E-2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2.8108174149398146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2.8108174149398146</v>
      </c>
      <c r="AC22" s="13">
        <f>'TUSD BE'!$AC$22*'TUSD BE'!$AC$58</f>
        <v>-122.34819713087992</v>
      </c>
      <c r="AD22" s="13">
        <f>SUM($AC$22:$AC$22)</f>
        <v>-122.34819713087992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2.5760050391949663E-2</v>
      </c>
      <c r="AI22" s="13">
        <f>'TUSD BE'!$AI$22*'TUSD BE'!$AI$58</f>
        <v>1.0410220703000422E-3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2.6801072462249706E-2</v>
      </c>
      <c r="AM22" s="13">
        <f ca="1">SUMIF($L$4:$AL$4,"SUBTOTAL",$L$22:$AL$22)</f>
        <v>-119.53938764006773</v>
      </c>
      <c r="AO22" s="26">
        <f ca="1">+'TUSD BE'!$T$22+'TUSD BE'!$AB$22+'TUSD BE'!$AD$22+'TUSD BE'!$AL$22</f>
        <v>466.46319960123111</v>
      </c>
      <c r="AP22" s="26">
        <f ca="1">+'TUSD BE'!$T$22+'TUSD BE'!$AB$22+'TUSD BE'!$AD$22+'TUSD BE'!$AL$22</f>
        <v>466.46319960123111</v>
      </c>
    </row>
    <row r="23" spans="1:42" ht="11.25" customHeight="1" x14ac:dyDescent="0.3">
      <c r="A23" s="92"/>
      <c r="B23" s="92"/>
      <c r="C23" s="92"/>
      <c r="D23" s="23" t="s">
        <v>31</v>
      </c>
      <c r="E23" s="23" t="s">
        <v>25</v>
      </c>
      <c r="F23" s="23" t="s">
        <v>25</v>
      </c>
      <c r="G23" s="24" t="s">
        <v>79</v>
      </c>
      <c r="H23" s="24" t="s">
        <v>72</v>
      </c>
      <c r="I23" s="24">
        <f>'MERCADO TUSD'!$U$20</f>
        <v>149.93899999999999</v>
      </c>
      <c r="J23" s="15"/>
      <c r="L23" s="13">
        <f>'TUSD BE'!$L$23*'TUSD BE'!$L$58</f>
        <v>0</v>
      </c>
      <c r="M23" s="13">
        <f>'TUSD BE'!$M$23*'TUSD BE'!$M$58</f>
        <v>-2.8808996589869861E-2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-2.8808996589869861E-2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2.8108174149398146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2.8108174149398146</v>
      </c>
      <c r="AC23" s="13">
        <f>'TUSD BE'!$AC$23*'TUSD BE'!$AC$58</f>
        <v>-122.34819713087992</v>
      </c>
      <c r="AD23" s="13">
        <f>SUM($AC$23:$AC$23)</f>
        <v>-122.34819713087992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2.5760050391949663E-2</v>
      </c>
      <c r="AI23" s="13">
        <f>'TUSD BE'!$AI$23*'TUSD BE'!$AI$58</f>
        <v>1.0410220703000422E-3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2.6801072462249706E-2</v>
      </c>
      <c r="AM23" s="13">
        <f ca="1">SUMIF($L$4:$AL$4,"SUBTOTAL",$L$23:$AL$23)</f>
        <v>-119.53938764006773</v>
      </c>
      <c r="AO23" s="26">
        <f ca="1">+'TUSD BE'!$T$23+'TUSD BE'!$AB$23+'TUSD BE'!$AD$23+'TUSD BE'!$AL$23</f>
        <v>466.46319960123111</v>
      </c>
      <c r="AP23" s="26">
        <f ca="1">+'TUSD BE'!$T$23+'TUSD BE'!$AB$23+'TUSD BE'!$AD$23+'TUSD BE'!$AL$23</f>
        <v>466.46319960123111</v>
      </c>
    </row>
    <row r="24" spans="1:42" ht="11.25" customHeight="1" x14ac:dyDescent="0.3">
      <c r="A24" s="92"/>
      <c r="B24" s="92"/>
      <c r="C24" s="92"/>
      <c r="D24" s="23" t="s">
        <v>32</v>
      </c>
      <c r="E24" s="23" t="s">
        <v>25</v>
      </c>
      <c r="F24" s="23" t="s">
        <v>25</v>
      </c>
      <c r="G24" s="24" t="s">
        <v>79</v>
      </c>
      <c r="H24" s="24" t="s">
        <v>72</v>
      </c>
      <c r="I24" s="24">
        <f>'MERCADO TUSD'!$U$21</f>
        <v>50.329000000000001</v>
      </c>
      <c r="J24" s="15"/>
      <c r="L24" s="13">
        <f>'TUSD BE'!$L$24*'TUSD BE'!$L$58</f>
        <v>0</v>
      </c>
      <c r="M24" s="13">
        <f>'TUSD BE'!$M$24*'TUSD BE'!$M$58</f>
        <v>-2.8808996589869861E-2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-2.8808996589869861E-2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2.8108174149398146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2.8108174149398146</v>
      </c>
      <c r="AC24" s="13">
        <f>'TUSD BE'!$AC$24*'TUSD BE'!$AC$58</f>
        <v>-122.34819713087992</v>
      </c>
      <c r="AD24" s="13">
        <f>SUM($AC$24:$AC$24)</f>
        <v>-122.34819713087992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2.5760050391949663E-2</v>
      </c>
      <c r="AI24" s="13">
        <f>'TUSD BE'!$AI$24*'TUSD BE'!$AI$58</f>
        <v>1.0410220703000422E-3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2.6801072462249706E-2</v>
      </c>
      <c r="AM24" s="13">
        <f ca="1">SUMIF($L$4:$AL$4,"SUBTOTAL",$L$24:$AL$24)</f>
        <v>-119.53938764006773</v>
      </c>
      <c r="AO24" s="26">
        <f ca="1">+'TUSD BE'!$T$24+'TUSD BE'!$AB$24+'TUSD BE'!$AD$24+'TUSD BE'!$AL$24</f>
        <v>466.46319960123111</v>
      </c>
      <c r="AP24" s="26">
        <f ca="1">+'TUSD BE'!$T$24+'TUSD BE'!$AB$24+'TUSD BE'!$AD$24+'TUSD BE'!$AL$24</f>
        <v>466.46319960123111</v>
      </c>
    </row>
    <row r="25" spans="1:42" ht="11.25" customHeight="1" x14ac:dyDescent="0.3">
      <c r="A25" s="92"/>
      <c r="B25" s="92" t="s">
        <v>88</v>
      </c>
      <c r="C25" s="92" t="s">
        <v>24</v>
      </c>
      <c r="D25" s="23" t="s">
        <v>24</v>
      </c>
      <c r="E25" s="23" t="s">
        <v>25</v>
      </c>
      <c r="F25" s="23" t="s">
        <v>25</v>
      </c>
      <c r="G25" s="24" t="s">
        <v>79</v>
      </c>
      <c r="H25" s="24" t="s">
        <v>72</v>
      </c>
      <c r="I25" s="24">
        <f>'MERCADO TUSD'!$U$22</f>
        <v>0</v>
      </c>
      <c r="J25" s="15"/>
      <c r="L25" s="13">
        <f>'TUSD BE'!$L$25*'TUSD BE'!$L$58</f>
        <v>0</v>
      </c>
      <c r="M25" s="13">
        <f>'TUSD BE'!$M$25*'TUSD BE'!$M$58</f>
        <v>-2.8808996589869861E-2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-3.3094422724308807</v>
      </c>
      <c r="R25" s="13">
        <f>'TUSD BE'!$R$25*'TUSD BE'!$R$58</f>
        <v>-0.60710659186546168</v>
      </c>
      <c r="S25" s="13">
        <f>'TUSD BE'!$R$25*'TUSD BE'!$S$58</f>
        <v>0</v>
      </c>
      <c r="T25" s="13">
        <f ca="1">SUM($L$25:$S$25)</f>
        <v>-3.9453578608862125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2.8108174149398146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2.8108174149398146</v>
      </c>
      <c r="AC25" s="13">
        <f>'TUSD BE'!$AC$25*'TUSD BE'!$AC$58</f>
        <v>-122.34819713087992</v>
      </c>
      <c r="AD25" s="13">
        <f>SUM($AC$25:$AC$25)</f>
        <v>-122.34819713087992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2.5760050391949663E-2</v>
      </c>
      <c r="AI25" s="13">
        <f>'TUSD BE'!$AI$25*'TUSD BE'!$AI$58</f>
        <v>1.0410220703000422E-3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2.6801072462249706E-2</v>
      </c>
      <c r="AM25" s="13">
        <f ca="1">SUMIF($L$4:$AL$4,"SUBTOTAL",$L$25:$AL$25)</f>
        <v>-123.45593650436408</v>
      </c>
      <c r="AO25" s="26">
        <f ca="1">+'TUSD BE'!$T$25+'TUSD BE'!$AB$25+'TUSD BE'!$AD$25+'TUSD BE'!$AL$25</f>
        <v>571.47756794167401</v>
      </c>
      <c r="AP25" s="26">
        <f ca="1">+'TUSD BE'!$T$25+'TUSD BE'!$AB$25+'TUSD BE'!$AD$25+'TUSD BE'!$AL$25</f>
        <v>571.47756794167401</v>
      </c>
    </row>
    <row r="26" spans="1:42" ht="11.25" customHeight="1" x14ac:dyDescent="0.3">
      <c r="A26" s="92"/>
      <c r="B26" s="92"/>
      <c r="C26" s="92"/>
      <c r="D26" s="23" t="s">
        <v>29</v>
      </c>
      <c r="E26" s="23" t="s">
        <v>25</v>
      </c>
      <c r="F26" s="23" t="s">
        <v>25</v>
      </c>
      <c r="G26" s="24" t="s">
        <v>79</v>
      </c>
      <c r="H26" s="24" t="s">
        <v>72</v>
      </c>
      <c r="I26" s="24">
        <f>'MERCADO TUSD'!$U$23</f>
        <v>0</v>
      </c>
      <c r="J26" s="15"/>
      <c r="L26" s="13">
        <f>'TUSD BE'!$L$26*'TUSD BE'!$L$58</f>
        <v>0</v>
      </c>
      <c r="M26" s="13">
        <f>'TUSD BE'!$M$26*'TUSD BE'!$M$58</f>
        <v>-2.8808996589869861E-2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-2.8808996589869861E-2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2.8108174149398146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2.8108174149398146</v>
      </c>
      <c r="AC26" s="13">
        <f>'TUSD BE'!$AC$26*'TUSD BE'!$AC$58</f>
        <v>-122.34819713087992</v>
      </c>
      <c r="AD26" s="13">
        <f>SUM($AC$26:$AC$26)</f>
        <v>-122.34819713087992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2.5760050391949663E-2</v>
      </c>
      <c r="AI26" s="13">
        <f>'TUSD BE'!$AI$26*'TUSD BE'!$AI$58</f>
        <v>1.0410220703000422E-3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2.6801072462249706E-2</v>
      </c>
      <c r="AM26" s="13">
        <f ca="1">SUMIF($L$4:$AL$4,"SUBTOTAL",$L$26:$AL$26)</f>
        <v>-119.53938764006773</v>
      </c>
      <c r="AO26" s="26">
        <f ca="1">+'TUSD BE'!$T$26+'TUSD BE'!$AB$26+'TUSD BE'!$AD$26+'TUSD BE'!$AL$26</f>
        <v>466.46319960123111</v>
      </c>
      <c r="AP26" s="26">
        <f ca="1">+'TUSD BE'!$T$26+'TUSD BE'!$AB$26+'TUSD BE'!$AD$26+'TUSD BE'!$AL$26</f>
        <v>466.46319960123111</v>
      </c>
    </row>
    <row r="27" spans="1:42" ht="11.25" customHeight="1" x14ac:dyDescent="0.3">
      <c r="A27" s="92"/>
      <c r="B27" s="92"/>
      <c r="C27" s="92"/>
      <c r="D27" s="23" t="s">
        <v>30</v>
      </c>
      <c r="E27" s="23" t="s">
        <v>25</v>
      </c>
      <c r="F27" s="23" t="s">
        <v>25</v>
      </c>
      <c r="G27" s="24" t="s">
        <v>79</v>
      </c>
      <c r="H27" s="24" t="s">
        <v>72</v>
      </c>
      <c r="I27" s="24">
        <f>'MERCADO TUSD'!$U$24</f>
        <v>0</v>
      </c>
      <c r="J27" s="15"/>
      <c r="L27" s="13">
        <f>'TUSD BE'!$L$27*'TUSD BE'!$L$58</f>
        <v>0</v>
      </c>
      <c r="M27" s="13">
        <f>'TUSD BE'!$M$27*'TUSD BE'!$M$58</f>
        <v>-2.8808996589869861E-2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-2.8808996589869861E-2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2.8108174149398146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2.8108174149398146</v>
      </c>
      <c r="AC27" s="13">
        <f>'TUSD BE'!$AC$27*'TUSD BE'!$AC$58</f>
        <v>-122.34819713087992</v>
      </c>
      <c r="AD27" s="13">
        <f>SUM($AC$27:$AC$27)</f>
        <v>-122.34819713087992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2.5760050391949663E-2</v>
      </c>
      <c r="AI27" s="13">
        <f>'TUSD BE'!$AI$27*'TUSD BE'!$AI$58</f>
        <v>1.0410220703000422E-3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2.6801072462249706E-2</v>
      </c>
      <c r="AM27" s="13">
        <f ca="1">SUMIF($L$4:$AL$4,"SUBTOTAL",$L$27:$AL$27)</f>
        <v>-119.53938764006773</v>
      </c>
      <c r="AO27" s="26">
        <f ca="1">+'TUSD BE'!$T$27+'TUSD BE'!$AB$27+'TUSD BE'!$AD$27+'TUSD BE'!$AL$27</f>
        <v>466.46319960123111</v>
      </c>
      <c r="AP27" s="26">
        <f ca="1">+'TUSD BE'!$T$27+'TUSD BE'!$AB$27+'TUSD BE'!$AD$27+'TUSD BE'!$AL$27</f>
        <v>466.46319960123111</v>
      </c>
    </row>
    <row r="28" spans="1:42" ht="11.25" customHeight="1" x14ac:dyDescent="0.3">
      <c r="A28" s="92"/>
      <c r="B28" s="92"/>
      <c r="C28" s="92"/>
      <c r="D28" s="23" t="s">
        <v>31</v>
      </c>
      <c r="E28" s="23" t="s">
        <v>25</v>
      </c>
      <c r="F28" s="23" t="s">
        <v>25</v>
      </c>
      <c r="G28" s="24" t="s">
        <v>79</v>
      </c>
      <c r="H28" s="24" t="s">
        <v>72</v>
      </c>
      <c r="I28" s="24">
        <f>'MERCADO TUSD'!$U$25</f>
        <v>0</v>
      </c>
      <c r="J28" s="15"/>
      <c r="L28" s="13">
        <f>'TUSD BE'!$L$28*'TUSD BE'!$L$58</f>
        <v>0</v>
      </c>
      <c r="M28" s="13">
        <f>'TUSD BE'!$M$28*'TUSD BE'!$M$58</f>
        <v>-2.8808996589869861E-2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-2.8808996589869861E-2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2.8108174149398146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2.8108174149398146</v>
      </c>
      <c r="AC28" s="13">
        <f>'TUSD BE'!$AC$28*'TUSD BE'!$AC$58</f>
        <v>-122.34819713087992</v>
      </c>
      <c r="AD28" s="13">
        <f>SUM($AC$28:$AC$28)</f>
        <v>-122.34819713087992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2.5760050391949663E-2</v>
      </c>
      <c r="AI28" s="13">
        <f>'TUSD BE'!$AI$28*'TUSD BE'!$AI$58</f>
        <v>1.0410220703000422E-3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2.6801072462249706E-2</v>
      </c>
      <c r="AM28" s="13">
        <f ca="1">SUMIF($L$4:$AL$4,"SUBTOTAL",$L$28:$AL$28)</f>
        <v>-119.53938764006773</v>
      </c>
      <c r="AO28" s="26">
        <f ca="1">+'TUSD BE'!$T$28+'TUSD BE'!$AB$28+'TUSD BE'!$AD$28+'TUSD BE'!$AL$28</f>
        <v>466.46319960123111</v>
      </c>
      <c r="AP28" s="26">
        <f ca="1">+'TUSD BE'!$T$28+'TUSD BE'!$AB$28+'TUSD BE'!$AD$28+'TUSD BE'!$AL$28</f>
        <v>466.46319960123111</v>
      </c>
    </row>
    <row r="29" spans="1:42" ht="11.25" customHeight="1" x14ac:dyDescent="0.3">
      <c r="A29" s="92"/>
      <c r="B29" s="92"/>
      <c r="C29" s="92"/>
      <c r="D29" s="23" t="s">
        <v>32</v>
      </c>
      <c r="E29" s="23" t="s">
        <v>25</v>
      </c>
      <c r="F29" s="23" t="s">
        <v>25</v>
      </c>
      <c r="G29" s="24" t="s">
        <v>79</v>
      </c>
      <c r="H29" s="24" t="s">
        <v>72</v>
      </c>
      <c r="I29" s="24">
        <f>'MERCADO TUSD'!$U$26</f>
        <v>0</v>
      </c>
      <c r="J29" s="15"/>
      <c r="L29" s="13">
        <f>'TUSD BE'!$L$29*'TUSD BE'!$L$58</f>
        <v>0</v>
      </c>
      <c r="M29" s="13">
        <f>'TUSD BE'!$M$29*'TUSD BE'!$M$58</f>
        <v>-2.8808996589869861E-2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-2.8808996589869861E-2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2.8108174149398146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2.8108174149398146</v>
      </c>
      <c r="AC29" s="13">
        <f>'TUSD BE'!$AC$29*'TUSD BE'!$AC$58</f>
        <v>-122.34819713087992</v>
      </c>
      <c r="AD29" s="13">
        <f>SUM($AC$29:$AC$29)</f>
        <v>-122.34819713087992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2.5760050391949663E-2</v>
      </c>
      <c r="AI29" s="13">
        <f>'TUSD BE'!$AI$29*'TUSD BE'!$AI$58</f>
        <v>1.0410220703000422E-3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2.6801072462249706E-2</v>
      </c>
      <c r="AM29" s="13">
        <f ca="1">SUMIF($L$4:$AL$4,"SUBTOTAL",$L$29:$AL$29)</f>
        <v>-119.53938764006773</v>
      </c>
      <c r="AO29" s="26">
        <f ca="1">+'TUSD BE'!$T$29+'TUSD BE'!$AB$29+'TUSD BE'!$AD$29+'TUSD BE'!$AL$29</f>
        <v>466.46319960123111</v>
      </c>
      <c r="AP29" s="26">
        <f ca="1">+'TUSD BE'!$T$29+'TUSD BE'!$AB$29+'TUSD BE'!$AD$29+'TUSD BE'!$AL$29</f>
        <v>466.46319960123111</v>
      </c>
    </row>
    <row r="30" spans="1:42" ht="11.25" customHeight="1" x14ac:dyDescent="0.3">
      <c r="A30" s="92" t="s">
        <v>42</v>
      </c>
      <c r="B30" s="92" t="s">
        <v>40</v>
      </c>
      <c r="C30" s="92" t="s">
        <v>43</v>
      </c>
      <c r="D30" s="92" t="s">
        <v>25</v>
      </c>
      <c r="E30" s="92" t="s">
        <v>25</v>
      </c>
      <c r="F30" s="92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'TUSD BE'!$L$30*'TUSD BE'!$L$58</f>
        <v>0</v>
      </c>
      <c r="M30" s="13">
        <f>'TUSD BE'!$M$30*'TUSD BE'!$M$58</f>
        <v>-2.8808996589869861E-2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-3.3094422724308807</v>
      </c>
      <c r="R30" s="13">
        <f>'TUSD BE'!$R$30*'TUSD BE'!$R$58</f>
        <v>-0.60710659186546168</v>
      </c>
      <c r="S30" s="13">
        <f>'TUSD BE'!$R$30*'TUSD BE'!$S$58</f>
        <v>0</v>
      </c>
      <c r="T30" s="13">
        <f ca="1">SUM($L$30:$S$30)</f>
        <v>-3.9453578608862125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8.2922537744311189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8.2922537744311189</v>
      </c>
      <c r="AC30" s="13">
        <f>'TUSD BE'!$AC$30*'TUSD BE'!$AC$58</f>
        <v>-360.9271452396809</v>
      </c>
      <c r="AD30" s="13">
        <f>SUM($AC$30:$AC$30)</f>
        <v>-360.9271452396809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2.5760050391949663E-2</v>
      </c>
      <c r="AI30" s="13">
        <f>'TUSD BE'!$AI$30*'TUSD BE'!$AI$58</f>
        <v>1.0410220703000422E-3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2.6801072462249706E-2</v>
      </c>
      <c r="AM30" s="13">
        <f ca="1">SUMIF($L$4:$AL$4,"SUBTOTAL",$L$30:$AL$30)</f>
        <v>-356.55344825367371</v>
      </c>
      <c r="AO30" s="26">
        <f ca="1">+'TUSD BE'!$T$30+'TUSD BE'!$AB$30+'TUSD BE'!$AD$30+'TUSD BE'!$AL$30</f>
        <v>1474.4168355014106</v>
      </c>
      <c r="AP30" s="26">
        <f ca="1">+'TUSD BE'!$T$30+'TUSD BE'!$AB$30+'TUSD BE'!$AD$30+'TUSD BE'!$AL$30</f>
        <v>1474.4168355014106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24" t="s">
        <v>85</v>
      </c>
      <c r="H31" s="24" t="s">
        <v>72</v>
      </c>
      <c r="I31" s="24">
        <f>'MERCADO TUSD'!$U$28</f>
        <v>0</v>
      </c>
      <c r="J31" s="15"/>
      <c r="L31" s="13">
        <f>'TUSD BE'!$L$31*'TUSD BE'!$L$58</f>
        <v>0</v>
      </c>
      <c r="M31" s="13">
        <f>'TUSD BE'!$M$31*'TUSD BE'!$M$58</f>
        <v>-2.8808996589869861E-2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-3.3094422724308807</v>
      </c>
      <c r="R31" s="13">
        <f>'TUSD BE'!$R$31*'TUSD BE'!$R$58</f>
        <v>-0.60710659186546168</v>
      </c>
      <c r="S31" s="13">
        <f>'TUSD BE'!$R$31*'TUSD BE'!$S$58</f>
        <v>0</v>
      </c>
      <c r="T31" s="13">
        <f ca="1">SUM($L$31:$S$31)</f>
        <v>-3.9453578608862125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4.9747971229006849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4.9747971229006849</v>
      </c>
      <c r="AC31" s="13">
        <f>'TUSD BE'!$AC$31*'TUSD BE'!$AC$58</f>
        <v>-216.55621939050087</v>
      </c>
      <c r="AD31" s="13">
        <f>SUM($AC$31:$AC$31)</f>
        <v>-216.55621939050087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2.5760050391949663E-2</v>
      </c>
      <c r="AI31" s="13">
        <f>'TUSD BE'!$AI$31*'TUSD BE'!$AI$58</f>
        <v>1.0410220703000422E-3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2.6801072462249706E-2</v>
      </c>
      <c r="AM31" s="13">
        <f ca="1">SUMIF($L$4:$AL$4,"SUBTOTAL",$L$31:$AL$31)</f>
        <v>-215.49997905602413</v>
      </c>
      <c r="AO31" s="26">
        <f ca="1">+'TUSD BE'!$T$31+'TUSD BE'!$AB$31+'TUSD BE'!$AD$31+'TUSD BE'!$AL$31</f>
        <v>928.00256507168535</v>
      </c>
      <c r="AP31" s="26">
        <f ca="1">+'TUSD BE'!$T$31+'TUSD BE'!$AB$31+'TUSD BE'!$AD$31+'TUSD BE'!$AL$31</f>
        <v>928.00256507168535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24" t="s">
        <v>74</v>
      </c>
      <c r="H32" s="24" t="s">
        <v>72</v>
      </c>
      <c r="I32" s="24">
        <f>'MERCADO TUSD'!$U$29</f>
        <v>0</v>
      </c>
      <c r="J32" s="15"/>
      <c r="L32" s="13">
        <f>'TUSD BE'!$L$32*'TUSD BE'!$L$58</f>
        <v>0</v>
      </c>
      <c r="M32" s="13">
        <f>'TUSD BE'!$M$32*'TUSD BE'!$M$58</f>
        <v>-2.8808996589869861E-2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-3.3094422724308807</v>
      </c>
      <c r="R32" s="13">
        <f>'TUSD BE'!$R$32*'TUSD BE'!$R$58</f>
        <v>-0.60710659186546168</v>
      </c>
      <c r="S32" s="13">
        <f>'TUSD BE'!$R$32*'TUSD BE'!$S$58</f>
        <v>0</v>
      </c>
      <c r="T32" s="13">
        <f ca="1">SUM($L$32:$S$32)</f>
        <v>-3.9453578608862125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1.6573404713702526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1.6573404713702526</v>
      </c>
      <c r="AC32" s="13">
        <f>'TUSD BE'!$AC$32*'TUSD BE'!$AC$58</f>
        <v>-72.185390331760345</v>
      </c>
      <c r="AD32" s="13">
        <f>SUM($AC$32:$AC$32)</f>
        <v>-72.185390331760345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2.5760050391949663E-2</v>
      </c>
      <c r="AI32" s="13">
        <f>'TUSD BE'!$AI$32*'TUSD BE'!$AI$58</f>
        <v>1.0410220703000422E-3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2.6801072462249706E-2</v>
      </c>
      <c r="AM32" s="13">
        <f ca="1">SUMIF($L$4:$AL$4,"SUBTOTAL",$L$32:$AL$32)</f>
        <v>-74.446606648814054</v>
      </c>
      <c r="AO32" s="26">
        <f ca="1">+'TUSD BE'!$T$32+'TUSD BE'!$AB$32+'TUSD BE'!$AD$32+'TUSD BE'!$AL$32</f>
        <v>381.58856906135202</v>
      </c>
      <c r="AP32" s="26">
        <f ca="1">+'TUSD BE'!$T$32+'TUSD BE'!$AB$32+'TUSD BE'!$AD$32+'TUSD BE'!$AL$32</f>
        <v>381.58856906135202</v>
      </c>
    </row>
    <row r="33" spans="1:42" ht="11.25" customHeight="1" x14ac:dyDescent="0.3">
      <c r="A33" s="92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79</v>
      </c>
      <c r="H33" s="24" t="s">
        <v>72</v>
      </c>
      <c r="I33" s="24">
        <f>'MERCADO TUSD'!$U$30</f>
        <v>5511.7490000000016</v>
      </c>
      <c r="J33" s="15"/>
      <c r="L33" s="13">
        <f>'TUSD BE'!$L$33*'TUSD BE'!$L$58</f>
        <v>0</v>
      </c>
      <c r="M33" s="13">
        <f>'TUSD BE'!$M$33*'TUSD BE'!$M$58</f>
        <v>-2.8808996589869861E-2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-3.3094422724308807</v>
      </c>
      <c r="R33" s="13">
        <f>'TUSD BE'!$R$33*'TUSD BE'!$R$58</f>
        <v>-0.60710659186546168</v>
      </c>
      <c r="S33" s="13">
        <f>'TUSD BE'!$R$33*'TUSD BE'!$S$58</f>
        <v>0</v>
      </c>
      <c r="T33" s="13">
        <f ca="1">SUM($L$33:$S$33)</f>
        <v>-3.9453578608862125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2.8108174149398146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2.8108174149398146</v>
      </c>
      <c r="AC33" s="13">
        <f>'TUSD BE'!$AC$33*'TUSD BE'!$AC$58</f>
        <v>-122.34819713087992</v>
      </c>
      <c r="AD33" s="13">
        <f>SUM($AC$33:$AC$33)</f>
        <v>-122.34819713087992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2.5760050391949663E-2</v>
      </c>
      <c r="AI33" s="13">
        <f>'TUSD BE'!$AI$33*'TUSD BE'!$AI$58</f>
        <v>1.0410220703000422E-3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2.6801072462249706E-2</v>
      </c>
      <c r="AM33" s="13">
        <f ca="1">SUMIF($L$4:$AL$4,"SUBTOTAL",$L$33:$AL$33)</f>
        <v>-123.45593650436408</v>
      </c>
      <c r="AO33" s="26">
        <f ca="1">+'TUSD BE'!$T$33+'TUSD BE'!$AB$33+'TUSD BE'!$AD$33+'TUSD BE'!$AL$33</f>
        <v>571.47756794167401</v>
      </c>
      <c r="AP33" s="26">
        <f ca="1">+'TUSD BE'!$T$33+'TUSD BE'!$AB$33+'TUSD BE'!$AD$33+'TUSD BE'!$AL$33</f>
        <v>571.47756794167401</v>
      </c>
    </row>
    <row r="34" spans="1:42" ht="11.25" customHeight="1" x14ac:dyDescent="0.3">
      <c r="A34" s="92"/>
      <c r="B34" s="92" t="s">
        <v>40</v>
      </c>
      <c r="C34" s="92" t="s">
        <v>43</v>
      </c>
      <c r="D34" s="92" t="s">
        <v>89</v>
      </c>
      <c r="E34" s="92" t="s">
        <v>25</v>
      </c>
      <c r="F34" s="92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'TUSD BE'!$L$34*'TUSD BE'!$L$58</f>
        <v>0</v>
      </c>
      <c r="M34" s="13">
        <f>'TUSD BE'!$M$34*'TUSD BE'!$M$58</f>
        <v>-2.8808996589869861E-2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-3.3094422724308807</v>
      </c>
      <c r="R34" s="13">
        <f>'TUSD BE'!$R$34*'TUSD BE'!$R$58</f>
        <v>-0.60710659186546168</v>
      </c>
      <c r="S34" s="13">
        <f>'TUSD BE'!$R$34*'TUSD BE'!$S$58</f>
        <v>0</v>
      </c>
      <c r="T34" s="13">
        <f ca="1">SUM($L$34:$S$34)</f>
        <v>-3.9453578608862125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8.2922537744311189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8.2922537744311189</v>
      </c>
      <c r="AC34" s="13">
        <f>'TUSD BE'!$AC$34*'TUSD BE'!$AC$58</f>
        <v>-360.9271452396809</v>
      </c>
      <c r="AD34" s="13">
        <f>SUM($AC$34:$AC$34)</f>
        <v>-360.9271452396809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2.5760050391949663E-2</v>
      </c>
      <c r="AI34" s="13">
        <f>'TUSD BE'!$AI$34*'TUSD BE'!$AI$58</f>
        <v>1.0410220703000422E-3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2.6801072462249706E-2</v>
      </c>
      <c r="AM34" s="13">
        <f ca="1">SUMIF($L$4:$AL$4,"SUBTOTAL",$L$34:$AL$34)</f>
        <v>-356.55344825367371</v>
      </c>
      <c r="AO34" s="26">
        <f ca="1">+'TUSD BE'!$T$34+'TUSD BE'!$AB$34+'TUSD BE'!$AD$34+'TUSD BE'!$AL$34</f>
        <v>1474.4168355014106</v>
      </c>
      <c r="AP34" s="26">
        <f ca="1">+'TUSD BE'!$T$34+'TUSD BE'!$AB$34+'TUSD BE'!$AD$34+'TUSD BE'!$AL$34</f>
        <v>1474.4168355014106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24" t="s">
        <v>85</v>
      </c>
      <c r="H35" s="24" t="s">
        <v>72</v>
      </c>
      <c r="I35" s="24">
        <f>'MERCADO TUSD'!$U$32</f>
        <v>0</v>
      </c>
      <c r="J35" s="15"/>
      <c r="L35" s="13">
        <f>'TUSD BE'!$L$35*'TUSD BE'!$L$58</f>
        <v>0</v>
      </c>
      <c r="M35" s="13">
        <f>'TUSD BE'!$M$35*'TUSD BE'!$M$58</f>
        <v>-2.8808996589869861E-2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-3.3094422724308807</v>
      </c>
      <c r="R35" s="13">
        <f>'TUSD BE'!$R$35*'TUSD BE'!$R$58</f>
        <v>-0.60710659186546168</v>
      </c>
      <c r="S35" s="13">
        <f>'TUSD BE'!$R$35*'TUSD BE'!$S$58</f>
        <v>0</v>
      </c>
      <c r="T35" s="13">
        <f ca="1">SUM($L$35:$S$35)</f>
        <v>-3.9453578608862125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4.9747971229006849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4.9747971229006849</v>
      </c>
      <c r="AC35" s="13">
        <f>'TUSD BE'!$AC$35*'TUSD BE'!$AC$58</f>
        <v>-216.55621939050087</v>
      </c>
      <c r="AD35" s="13">
        <f>SUM($AC$35:$AC$35)</f>
        <v>-216.55621939050087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2.5760050391949663E-2</v>
      </c>
      <c r="AI35" s="13">
        <f>'TUSD BE'!$AI$35*'TUSD BE'!$AI$58</f>
        <v>1.0410220703000422E-3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2.6801072462249706E-2</v>
      </c>
      <c r="AM35" s="13">
        <f ca="1">SUMIF($L$4:$AL$4,"SUBTOTAL",$L$35:$AL$35)</f>
        <v>-215.49997905602413</v>
      </c>
      <c r="AO35" s="26">
        <f ca="1">+'TUSD BE'!$T$35+'TUSD BE'!$AB$35+'TUSD BE'!$AD$35+'TUSD BE'!$AL$35</f>
        <v>928.00256507168535</v>
      </c>
      <c r="AP35" s="26">
        <f ca="1">+'TUSD BE'!$T$35+'TUSD BE'!$AB$35+'TUSD BE'!$AD$35+'TUSD BE'!$AL$35</f>
        <v>928.00256507168535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24" t="s">
        <v>74</v>
      </c>
      <c r="H36" s="24" t="s">
        <v>72</v>
      </c>
      <c r="I36" s="24">
        <f>'MERCADO TUSD'!$U$33</f>
        <v>0</v>
      </c>
      <c r="J36" s="15"/>
      <c r="L36" s="13">
        <f>'TUSD BE'!$L$36*'TUSD BE'!$L$58</f>
        <v>0</v>
      </c>
      <c r="M36" s="13">
        <f>'TUSD BE'!$M$36*'TUSD BE'!$M$58</f>
        <v>-2.8808996589869861E-2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-3.3094422724308807</v>
      </c>
      <c r="R36" s="13">
        <f>'TUSD BE'!$R$36*'TUSD BE'!$R$58</f>
        <v>-0.60710659186546168</v>
      </c>
      <c r="S36" s="13">
        <f>'TUSD BE'!$R$36*'TUSD BE'!$S$58</f>
        <v>0</v>
      </c>
      <c r="T36" s="13">
        <f ca="1">SUM($L$36:$S$36)</f>
        <v>-3.9453578608862125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1.6573404713702526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1.6573404713702526</v>
      </c>
      <c r="AC36" s="13">
        <f>'TUSD BE'!$AC$36*'TUSD BE'!$AC$58</f>
        <v>-72.185390331760345</v>
      </c>
      <c r="AD36" s="13">
        <f>SUM($AC$36:$AC$36)</f>
        <v>-72.185390331760345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2.5760050391949663E-2</v>
      </c>
      <c r="AI36" s="13">
        <f>'TUSD BE'!$AI$36*'TUSD BE'!$AI$58</f>
        <v>1.0410220703000422E-3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2.6801072462249706E-2</v>
      </c>
      <c r="AM36" s="13">
        <f ca="1">SUMIF($L$4:$AL$4,"SUBTOTAL",$L$36:$AL$36)</f>
        <v>-74.446606648814054</v>
      </c>
      <c r="AO36" s="26">
        <f ca="1">+'TUSD BE'!$T$36+'TUSD BE'!$AB$36+'TUSD BE'!$AD$36+'TUSD BE'!$AL$36</f>
        <v>381.58856906135202</v>
      </c>
      <c r="AP36" s="26">
        <f ca="1">+'TUSD BE'!$T$36+'TUSD BE'!$AB$36+'TUSD BE'!$AD$36+'TUSD BE'!$AL$36</f>
        <v>381.58856906135202</v>
      </c>
    </row>
    <row r="37" spans="1:42" ht="11.25" customHeight="1" x14ac:dyDescent="0.3">
      <c r="A37" s="92"/>
      <c r="B37" s="23" t="s">
        <v>23</v>
      </c>
      <c r="C37" s="23" t="s">
        <v>43</v>
      </c>
      <c r="D37" s="23" t="s">
        <v>89</v>
      </c>
      <c r="E37" s="23" t="s">
        <v>25</v>
      </c>
      <c r="F37" s="23" t="s">
        <v>25</v>
      </c>
      <c r="G37" s="24" t="s">
        <v>79</v>
      </c>
      <c r="H37" s="24" t="s">
        <v>72</v>
      </c>
      <c r="I37" s="24">
        <f>'MERCADO TUSD'!$U$34</f>
        <v>0</v>
      </c>
      <c r="J37" s="15"/>
      <c r="L37" s="13">
        <f>'TUSD BE'!$L$37*'TUSD BE'!$L$58</f>
        <v>0</v>
      </c>
      <c r="M37" s="13">
        <f>'TUSD BE'!$M$37*'TUSD BE'!$M$58</f>
        <v>-2.8808996589869861E-2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-3.3094422724308807</v>
      </c>
      <c r="R37" s="13">
        <f>'TUSD BE'!$R$37*'TUSD BE'!$R$58</f>
        <v>-0.60710659186546168</v>
      </c>
      <c r="S37" s="13">
        <f>'TUSD BE'!$R$37*'TUSD BE'!$S$58</f>
        <v>0</v>
      </c>
      <c r="T37" s="13">
        <f ca="1">SUM($L$37:$S$37)</f>
        <v>-3.9453578608862125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2.8108174149398146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2.8108174149398146</v>
      </c>
      <c r="AC37" s="13">
        <f>'TUSD BE'!$AC$37*'TUSD BE'!$AC$58</f>
        <v>-122.34819713087992</v>
      </c>
      <c r="AD37" s="13">
        <f>SUM($AC$37:$AC$37)</f>
        <v>-122.34819713087992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2.5760050391949663E-2</v>
      </c>
      <c r="AI37" s="13">
        <f>'TUSD BE'!$AI$37*'TUSD BE'!$AI$58</f>
        <v>1.0410220703000422E-3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2.6801072462249706E-2</v>
      </c>
      <c r="AM37" s="13">
        <f ca="1">SUMIF($L$4:$AL$4,"SUBTOTAL",$L$37:$AL$37)</f>
        <v>-123.45593650436408</v>
      </c>
      <c r="AO37" s="26">
        <f ca="1">+'TUSD BE'!$T$37+'TUSD BE'!$AB$37+'TUSD BE'!$AD$37+'TUSD BE'!$AL$37</f>
        <v>571.47756794167401</v>
      </c>
      <c r="AP37" s="26">
        <f ca="1">+'TUSD BE'!$T$37+'TUSD BE'!$AB$37+'TUSD BE'!$AD$37+'TUSD BE'!$AL$37</f>
        <v>571.47756794167401</v>
      </c>
    </row>
    <row r="38" spans="1:42" ht="11.25" customHeight="1" x14ac:dyDescent="0.3">
      <c r="A38" s="92"/>
      <c r="B38" s="92" t="s">
        <v>40</v>
      </c>
      <c r="C38" s="92" t="s">
        <v>43</v>
      </c>
      <c r="D38" s="92" t="s">
        <v>90</v>
      </c>
      <c r="E38" s="92" t="s">
        <v>25</v>
      </c>
      <c r="F38" s="92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'TUSD BE'!$L$38*'TUSD BE'!$L$58</f>
        <v>0</v>
      </c>
      <c r="M38" s="13">
        <f>'TUSD BE'!$M$38*'TUSD BE'!$M$58</f>
        <v>-2.8808996589869861E-2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-3.3094422724308807</v>
      </c>
      <c r="R38" s="13">
        <f>'TUSD BE'!$R$38*'TUSD BE'!$R$58</f>
        <v>-0.60710659186546168</v>
      </c>
      <c r="S38" s="13">
        <f>'TUSD BE'!$R$38*'TUSD BE'!$S$58</f>
        <v>0</v>
      </c>
      <c r="T38" s="13">
        <f ca="1">SUM($L$38:$S$38)</f>
        <v>-3.9453578608862125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8.2922537744311189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8.2922537744311189</v>
      </c>
      <c r="AC38" s="13">
        <f>'TUSD BE'!$AC$38*'TUSD BE'!$AC$58</f>
        <v>-360.9271452396809</v>
      </c>
      <c r="AD38" s="13">
        <f>SUM($AC$38:$AC$38)</f>
        <v>-360.9271452396809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2.5760050391949663E-2</v>
      </c>
      <c r="AI38" s="13">
        <f>'TUSD BE'!$AI$38*'TUSD BE'!$AI$58</f>
        <v>1.0410220703000422E-3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2.6801072462249706E-2</v>
      </c>
      <c r="AM38" s="13">
        <f ca="1">SUMIF($L$4:$AL$4,"SUBTOTAL",$L$38:$AL$38)</f>
        <v>-356.55344825367371</v>
      </c>
      <c r="AO38" s="26">
        <f ca="1">+'TUSD BE'!$T$38+'TUSD BE'!$AB$38+'TUSD BE'!$AD$38+'TUSD BE'!$AL$38</f>
        <v>1474.4168355014106</v>
      </c>
      <c r="AP38" s="26">
        <f ca="1">+'TUSD BE'!$T$38+'TUSD BE'!$AB$38+'TUSD BE'!$AD$38+'TUSD BE'!$AL$38</f>
        <v>1474.4168355014106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24" t="s">
        <v>85</v>
      </c>
      <c r="H39" s="24" t="s">
        <v>72</v>
      </c>
      <c r="I39" s="24">
        <f>'MERCADO TUSD'!$U$36</f>
        <v>0</v>
      </c>
      <c r="J39" s="15"/>
      <c r="L39" s="13">
        <f>'TUSD BE'!$L$39*'TUSD BE'!$L$58</f>
        <v>0</v>
      </c>
      <c r="M39" s="13">
        <f>'TUSD BE'!$M$39*'TUSD BE'!$M$58</f>
        <v>-2.8808996589869861E-2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-3.3094422724308807</v>
      </c>
      <c r="R39" s="13">
        <f>'TUSD BE'!$R$39*'TUSD BE'!$R$58</f>
        <v>-0.60710659186546168</v>
      </c>
      <c r="S39" s="13">
        <f>'TUSD BE'!$R$39*'TUSD BE'!$S$58</f>
        <v>0</v>
      </c>
      <c r="T39" s="13">
        <f ca="1">SUM($L$39:$S$39)</f>
        <v>-3.9453578608862125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4.9747971229006849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4.9747971229006849</v>
      </c>
      <c r="AC39" s="13">
        <f>'TUSD BE'!$AC$39*'TUSD BE'!$AC$58</f>
        <v>-216.55621939050087</v>
      </c>
      <c r="AD39" s="13">
        <f>SUM($AC$39:$AC$39)</f>
        <v>-216.55621939050087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2.5760050391949663E-2</v>
      </c>
      <c r="AI39" s="13">
        <f>'TUSD BE'!$AI$39*'TUSD BE'!$AI$58</f>
        <v>1.0410220703000422E-3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2.6801072462249706E-2</v>
      </c>
      <c r="AM39" s="13">
        <f ca="1">SUMIF($L$4:$AL$4,"SUBTOTAL",$L$39:$AL$39)</f>
        <v>-215.49997905602413</v>
      </c>
      <c r="AO39" s="26">
        <f ca="1">+'TUSD BE'!$T$39+'TUSD BE'!$AB$39+'TUSD BE'!$AD$39+'TUSD BE'!$AL$39</f>
        <v>928.00256507168535</v>
      </c>
      <c r="AP39" s="26">
        <f ca="1">+'TUSD BE'!$T$39+'TUSD BE'!$AB$39+'TUSD BE'!$AD$39+'TUSD BE'!$AL$39</f>
        <v>928.00256507168535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24" t="s">
        <v>74</v>
      </c>
      <c r="H40" s="24" t="s">
        <v>72</v>
      </c>
      <c r="I40" s="24">
        <f>'MERCADO TUSD'!$U$37</f>
        <v>0</v>
      </c>
      <c r="J40" s="15"/>
      <c r="L40" s="13">
        <f>'TUSD BE'!$L$40*'TUSD BE'!$L$58</f>
        <v>0</v>
      </c>
      <c r="M40" s="13">
        <f>'TUSD BE'!$M$40*'TUSD BE'!$M$58</f>
        <v>-2.8808996589869861E-2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-3.3094422724308807</v>
      </c>
      <c r="R40" s="13">
        <f>'TUSD BE'!$R$40*'TUSD BE'!$R$58</f>
        <v>-0.60710659186546168</v>
      </c>
      <c r="S40" s="13">
        <f>'TUSD BE'!$R$40*'TUSD BE'!$S$58</f>
        <v>0</v>
      </c>
      <c r="T40" s="13">
        <f ca="1">SUM($L$40:$S$40)</f>
        <v>-3.9453578608862125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1.6573404713702526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1.6573404713702526</v>
      </c>
      <c r="AC40" s="13">
        <f>'TUSD BE'!$AC$40*'TUSD BE'!$AC$58</f>
        <v>-72.185390331760345</v>
      </c>
      <c r="AD40" s="13">
        <f>SUM($AC$40:$AC$40)</f>
        <v>-72.185390331760345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2.5760050391949663E-2</v>
      </c>
      <c r="AI40" s="13">
        <f>'TUSD BE'!$AI$40*'TUSD BE'!$AI$58</f>
        <v>1.0410220703000422E-3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2.6801072462249706E-2</v>
      </c>
      <c r="AM40" s="13">
        <f ca="1">SUMIF($L$4:$AL$4,"SUBTOTAL",$L$40:$AL$40)</f>
        <v>-74.446606648814054</v>
      </c>
      <c r="AO40" s="26">
        <f ca="1">+'TUSD BE'!$T$40+'TUSD BE'!$AB$40+'TUSD BE'!$AD$40+'TUSD BE'!$AL$40</f>
        <v>381.58856906135202</v>
      </c>
      <c r="AP40" s="26">
        <f ca="1">+'TUSD BE'!$T$40+'TUSD BE'!$AB$40+'TUSD BE'!$AD$40+'TUSD BE'!$AL$40</f>
        <v>381.58856906135202</v>
      </c>
    </row>
    <row r="41" spans="1:42" ht="11.25" customHeight="1" x14ac:dyDescent="0.3">
      <c r="A41" s="92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79</v>
      </c>
      <c r="H41" s="24" t="s">
        <v>72</v>
      </c>
      <c r="I41" s="24">
        <f>'MERCADO TUSD'!$U$38</f>
        <v>0</v>
      </c>
      <c r="J41" s="15"/>
      <c r="L41" s="13">
        <f>'TUSD BE'!$L$41*'TUSD BE'!$L$58</f>
        <v>0</v>
      </c>
      <c r="M41" s="13">
        <f>'TUSD BE'!$M$41*'TUSD BE'!$M$58</f>
        <v>-2.8808996589869861E-2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-3.3094422724308807</v>
      </c>
      <c r="R41" s="13">
        <f>'TUSD BE'!$R$41*'TUSD BE'!$R$58</f>
        <v>-0.60710659186546168</v>
      </c>
      <c r="S41" s="13">
        <f>'TUSD BE'!$R$41*'TUSD BE'!$S$58</f>
        <v>0</v>
      </c>
      <c r="T41" s="13">
        <f ca="1">SUM($L$41:$S$41)</f>
        <v>-3.9453578608862125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2.8108174149398146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2.8108174149398146</v>
      </c>
      <c r="AC41" s="13">
        <f>'TUSD BE'!$AC$41*'TUSD BE'!$AC$58</f>
        <v>-122.34819713087992</v>
      </c>
      <c r="AD41" s="13">
        <f>SUM($AC$41:$AC$41)</f>
        <v>-122.34819713087992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2.5760050391949663E-2</v>
      </c>
      <c r="AI41" s="13">
        <f>'TUSD BE'!$AI$41*'TUSD BE'!$AI$58</f>
        <v>1.0410220703000422E-3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2.6801072462249706E-2</v>
      </c>
      <c r="AM41" s="13">
        <f ca="1">SUMIF($L$4:$AL$4,"SUBTOTAL",$L$41:$AL$41)</f>
        <v>-123.45593650436408</v>
      </c>
      <c r="AO41" s="26">
        <f ca="1">+'TUSD BE'!$T$41+'TUSD BE'!$AB$41+'TUSD BE'!$AD$41+'TUSD BE'!$AL$41</f>
        <v>571.47756794167401</v>
      </c>
      <c r="AP41" s="26">
        <f ca="1">+'TUSD BE'!$T$41+'TUSD BE'!$AB$41+'TUSD BE'!$AD$41+'TUSD BE'!$AL$41</f>
        <v>571.47756794167401</v>
      </c>
    </row>
    <row r="42" spans="1:42" ht="11.25" customHeight="1" x14ac:dyDescent="0.3">
      <c r="A42" s="92"/>
      <c r="B42" s="92" t="s">
        <v>88</v>
      </c>
      <c r="C42" s="92" t="s">
        <v>43</v>
      </c>
      <c r="D42" s="23" t="s">
        <v>25</v>
      </c>
      <c r="E42" s="23" t="s">
        <v>25</v>
      </c>
      <c r="F42" s="23" t="s">
        <v>25</v>
      </c>
      <c r="G42" s="24" t="s">
        <v>79</v>
      </c>
      <c r="H42" s="24" t="s">
        <v>72</v>
      </c>
      <c r="I42" s="24">
        <f>'MERCADO TUSD'!$U$39</f>
        <v>0</v>
      </c>
      <c r="J42" s="15"/>
      <c r="L42" s="13">
        <f>'TUSD BE'!$L$42*'TUSD BE'!$L$58</f>
        <v>0</v>
      </c>
      <c r="M42" s="13">
        <f>'TUSD BE'!$M$42*'TUSD BE'!$M$58</f>
        <v>-2.8808996589869861E-2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-3.3094422724308807</v>
      </c>
      <c r="R42" s="13">
        <f>'TUSD BE'!$R$42*'TUSD BE'!$R$58</f>
        <v>-0.60710659186546168</v>
      </c>
      <c r="S42" s="13">
        <f>'TUSD BE'!$R$42*'TUSD BE'!$S$58</f>
        <v>0</v>
      </c>
      <c r="T42" s="13">
        <f ca="1">SUM($L$42:$S$42)</f>
        <v>-3.9453578608862125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2.8108174149398146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2.8108174149398146</v>
      </c>
      <c r="AC42" s="13">
        <f>'TUSD BE'!$AC$42*'TUSD BE'!$AC$58</f>
        <v>-122.34819713087992</v>
      </c>
      <c r="AD42" s="13">
        <f>SUM($AC$42:$AC$42)</f>
        <v>-122.34819713087992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2.5760050391949663E-2</v>
      </c>
      <c r="AI42" s="13">
        <f>'TUSD BE'!$AI$42*'TUSD BE'!$AI$58</f>
        <v>1.0410220703000422E-3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2.6801072462249706E-2</v>
      </c>
      <c r="AM42" s="13">
        <f ca="1">SUMIF($L$4:$AL$4,"SUBTOTAL",$L$42:$AL$42)</f>
        <v>-123.45593650436408</v>
      </c>
      <c r="AO42" s="26">
        <f ca="1">+'TUSD BE'!$T$42+'TUSD BE'!$AB$42+'TUSD BE'!$AD$42+'TUSD BE'!$AL$42</f>
        <v>571.47756794167401</v>
      </c>
      <c r="AP42" s="26">
        <f ca="1">+'TUSD BE'!$T$42+'TUSD BE'!$AB$42+'TUSD BE'!$AD$42+'TUSD BE'!$AL$42</f>
        <v>571.47756794167401</v>
      </c>
    </row>
    <row r="43" spans="1:42" ht="11.25" customHeight="1" x14ac:dyDescent="0.3">
      <c r="A43" s="92"/>
      <c r="B43" s="92"/>
      <c r="C43" s="92"/>
      <c r="D43" s="23" t="s">
        <v>89</v>
      </c>
      <c r="E43" s="23" t="s">
        <v>25</v>
      </c>
      <c r="F43" s="23" t="s">
        <v>25</v>
      </c>
      <c r="G43" s="24" t="s">
        <v>79</v>
      </c>
      <c r="H43" s="24" t="s">
        <v>72</v>
      </c>
      <c r="I43" s="24">
        <f>'MERCADO TUSD'!$U$40</f>
        <v>0</v>
      </c>
      <c r="J43" s="15"/>
      <c r="L43" s="13">
        <f>'TUSD BE'!$L$43*'TUSD BE'!$L$58</f>
        <v>0</v>
      </c>
      <c r="M43" s="13">
        <f>'TUSD BE'!$M$43*'TUSD BE'!$M$58</f>
        <v>-2.8808996589869861E-2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-3.3094422724308807</v>
      </c>
      <c r="R43" s="13">
        <f>'TUSD BE'!$R$43*'TUSD BE'!$R$58</f>
        <v>-0.60710659186546168</v>
      </c>
      <c r="S43" s="13">
        <f>'TUSD BE'!$R$43*'TUSD BE'!$S$58</f>
        <v>0</v>
      </c>
      <c r="T43" s="13">
        <f ca="1">SUM($L$43:$S$43)</f>
        <v>-3.9453578608862125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2.8108174149398146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2.8108174149398146</v>
      </c>
      <c r="AC43" s="13">
        <f>'TUSD BE'!$AC$43*'TUSD BE'!$AC$58</f>
        <v>-122.34819713087992</v>
      </c>
      <c r="AD43" s="13">
        <f>SUM($AC$43:$AC$43)</f>
        <v>-122.34819713087992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2.5760050391949663E-2</v>
      </c>
      <c r="AI43" s="13">
        <f>'TUSD BE'!$AI$43*'TUSD BE'!$AI$58</f>
        <v>1.0410220703000422E-3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2.6801072462249706E-2</v>
      </c>
      <c r="AM43" s="13">
        <f ca="1">SUMIF($L$4:$AL$4,"SUBTOTAL",$L$43:$AL$43)</f>
        <v>-123.45593650436408</v>
      </c>
      <c r="AO43" s="26">
        <f ca="1">+'TUSD BE'!$T$43+'TUSD BE'!$AB$43+'TUSD BE'!$AD$43+'TUSD BE'!$AL$43</f>
        <v>571.47756794167401</v>
      </c>
      <c r="AP43" s="26">
        <f ca="1">+'TUSD BE'!$T$43+'TUSD BE'!$AB$43+'TUSD BE'!$AD$43+'TUSD BE'!$AL$43</f>
        <v>571.47756794167401</v>
      </c>
    </row>
    <row r="44" spans="1:42" ht="11.25" customHeight="1" x14ac:dyDescent="0.3">
      <c r="A44" s="92"/>
      <c r="B44" s="92"/>
      <c r="C44" s="92"/>
      <c r="D44" s="23" t="s">
        <v>90</v>
      </c>
      <c r="E44" s="23" t="s">
        <v>25</v>
      </c>
      <c r="F44" s="23" t="s">
        <v>25</v>
      </c>
      <c r="G44" s="24" t="s">
        <v>79</v>
      </c>
      <c r="H44" s="24" t="s">
        <v>72</v>
      </c>
      <c r="I44" s="24">
        <f>'MERCADO TUSD'!$U$41</f>
        <v>0</v>
      </c>
      <c r="J44" s="15"/>
      <c r="L44" s="13">
        <f>'TUSD BE'!$L$44*'TUSD BE'!$L$58</f>
        <v>0</v>
      </c>
      <c r="M44" s="13">
        <f>'TUSD BE'!$M$44*'TUSD BE'!$M$58</f>
        <v>-2.8808996589869861E-2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-3.3094422724308807</v>
      </c>
      <c r="R44" s="13">
        <f>'TUSD BE'!$R$44*'TUSD BE'!$R$58</f>
        <v>-0.60710659186546168</v>
      </c>
      <c r="S44" s="13">
        <f>'TUSD BE'!$R$44*'TUSD BE'!$S$58</f>
        <v>0</v>
      </c>
      <c r="T44" s="13">
        <f ca="1">SUM($L$44:$S$44)</f>
        <v>-3.9453578608862125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2.8108174149398146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2.8108174149398146</v>
      </c>
      <c r="AC44" s="13">
        <f>'TUSD BE'!$AC$44*'TUSD BE'!$AC$58</f>
        <v>-122.34819713087992</v>
      </c>
      <c r="AD44" s="13">
        <f>SUM($AC$44:$AC$44)</f>
        <v>-122.34819713087992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2.5760050391949663E-2</v>
      </c>
      <c r="AI44" s="13">
        <f>'TUSD BE'!$AI$44*'TUSD BE'!$AI$58</f>
        <v>1.0410220703000422E-3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2.6801072462249706E-2</v>
      </c>
      <c r="AM44" s="13">
        <f ca="1">SUMIF($L$4:$AL$4,"SUBTOTAL",$L$44:$AL$44)</f>
        <v>-123.45593650436408</v>
      </c>
      <c r="AO44" s="26">
        <f ca="1">+'TUSD BE'!$T$44+'TUSD BE'!$AB$44+'TUSD BE'!$AD$44+'TUSD BE'!$AL$44</f>
        <v>571.47756794167401</v>
      </c>
      <c r="AP44" s="26">
        <f ca="1">+'TUSD BE'!$T$44+'TUSD BE'!$AB$44+'TUSD BE'!$AD$44+'TUSD BE'!$AL$44</f>
        <v>571.47756794167401</v>
      </c>
    </row>
    <row r="45" spans="1:42" ht="11.25" customHeight="1" x14ac:dyDescent="0.3">
      <c r="A45" s="92" t="s">
        <v>33</v>
      </c>
      <c r="B45" s="92" t="s">
        <v>40</v>
      </c>
      <c r="C45" s="92" t="s">
        <v>25</v>
      </c>
      <c r="D45" s="92" t="s">
        <v>25</v>
      </c>
      <c r="E45" s="92" t="s">
        <v>25</v>
      </c>
      <c r="F45" s="92" t="s">
        <v>25</v>
      </c>
      <c r="G45" s="24" t="s">
        <v>73</v>
      </c>
      <c r="H45" s="24" t="s">
        <v>72</v>
      </c>
      <c r="I45" s="24">
        <f>'MERCADO TUSD'!$U$42</f>
        <v>0.86799999999999977</v>
      </c>
      <c r="J45" s="15"/>
      <c r="L45" s="13">
        <f>'TUSD BE'!$L$45*'TUSD BE'!$L$58</f>
        <v>0</v>
      </c>
      <c r="M45" s="13">
        <f>'TUSD BE'!$M$45*'TUSD BE'!$M$58</f>
        <v>-2.8808996589869861E-2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-3.3094422724308807</v>
      </c>
      <c r="R45" s="13">
        <f>'TUSD BE'!$R$45*'TUSD BE'!$R$58</f>
        <v>-0.60710659186546168</v>
      </c>
      <c r="S45" s="13">
        <f>'TUSD BE'!$R$45*'TUSD BE'!$S$58</f>
        <v>0</v>
      </c>
      <c r="T45" s="13">
        <f ca="1">SUM($L$45:$S$45)</f>
        <v>-3.9453578608862125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9.6997426899624131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9.6997426899624131</v>
      </c>
      <c r="AC45" s="13">
        <f>'TUSD BE'!$AC$45*'TUSD BE'!$AC$58</f>
        <v>-422.10112281707143</v>
      </c>
      <c r="AD45" s="13">
        <f>SUM($AC$45:$AC$45)</f>
        <v>-422.10112281707143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2.5760050391949663E-2</v>
      </c>
      <c r="AI45" s="13">
        <f>'TUSD BE'!$AI$45*'TUSD BE'!$AI$58</f>
        <v>1.0410220703000422E-3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2.6801072462249706E-2</v>
      </c>
      <c r="AM45" s="13">
        <f ca="1">SUMIF($L$4:$AL$4,"SUBTOTAL",$L$45:$AL$45)</f>
        <v>-416.31993691553299</v>
      </c>
      <c r="AO45" s="26">
        <f ca="1">+'TUSD BE'!$T$45+'TUSD BE'!$AB$45+'TUSD BE'!$AD$45+'TUSD BE'!$AL$45</f>
        <v>1706.0217451805559</v>
      </c>
      <c r="AP45" s="26">
        <f ca="1">+'TUSD BE'!$T$45+'TUSD BE'!$AB$45+'TUSD BE'!$AD$45+'TUSD BE'!$AL$45</f>
        <v>1706.0217451805559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24" t="s">
        <v>85</v>
      </c>
      <c r="H46" s="24" t="s">
        <v>72</v>
      </c>
      <c r="I46" s="24">
        <f>'MERCADO TUSD'!$U$43</f>
        <v>0.57500000000000007</v>
      </c>
      <c r="J46" s="15"/>
      <c r="L46" s="13">
        <f>'TUSD BE'!$L$46*'TUSD BE'!$L$58</f>
        <v>0</v>
      </c>
      <c r="M46" s="13">
        <f>'TUSD BE'!$M$46*'TUSD BE'!$M$58</f>
        <v>-2.8808996589869861E-2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-3.3094422724308807</v>
      </c>
      <c r="R46" s="13">
        <f>'TUSD BE'!$R$46*'TUSD BE'!$R$58</f>
        <v>-0.60710659186546168</v>
      </c>
      <c r="S46" s="13">
        <f>'TUSD BE'!$R$46*'TUSD BE'!$S$58</f>
        <v>0</v>
      </c>
      <c r="T46" s="13">
        <f ca="1">SUM($L$46:$S$46)</f>
        <v>-3.9453578608862125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5.8187353304614771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5.8187353304614771</v>
      </c>
      <c r="AC46" s="13">
        <f>'TUSD BE'!$AC$46*'TUSD BE'!$AC$58</f>
        <v>-253.26065433215493</v>
      </c>
      <c r="AD46" s="13">
        <f>SUM($AC$46:$AC$46)</f>
        <v>-253.26065433215493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2.5760050391949663E-2</v>
      </c>
      <c r="AI46" s="13">
        <f>'TUSD BE'!$AI$46*'TUSD BE'!$AI$58</f>
        <v>1.0410220703000422E-3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2.6801072462249706E-2</v>
      </c>
      <c r="AM46" s="13">
        <f ca="1">SUMIF($L$4:$AL$4,"SUBTOTAL",$L$46:$AL$46)</f>
        <v>-251.36047579011739</v>
      </c>
      <c r="AO46" s="26">
        <f ca="1">+'TUSD BE'!$T$46+'TUSD BE'!$AB$46+'TUSD BE'!$AD$46+'TUSD BE'!$AL$46</f>
        <v>1066.9427066529443</v>
      </c>
      <c r="AP46" s="26">
        <f ca="1">+'TUSD BE'!$T$46+'TUSD BE'!$AB$46+'TUSD BE'!$AD$46+'TUSD BE'!$AL$46</f>
        <v>1066.9427066529443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24" t="s">
        <v>74</v>
      </c>
      <c r="H47" s="24" t="s">
        <v>72</v>
      </c>
      <c r="I47" s="24">
        <f>'MERCADO TUSD'!$U$44</f>
        <v>9.5989999999999984</v>
      </c>
      <c r="J47" s="15"/>
      <c r="L47" s="13">
        <f>'TUSD BE'!$L$47*'TUSD BE'!$L$58</f>
        <v>0</v>
      </c>
      <c r="M47" s="13">
        <f>'TUSD BE'!$M$47*'TUSD BE'!$M$58</f>
        <v>-2.8808996589869861E-2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-3.3094422724308807</v>
      </c>
      <c r="R47" s="13">
        <f>'TUSD BE'!$R$47*'TUSD BE'!$R$58</f>
        <v>-0.60710659186546168</v>
      </c>
      <c r="S47" s="13">
        <f>'TUSD BE'!$R$47*'TUSD BE'!$S$58</f>
        <v>0</v>
      </c>
      <c r="T47" s="13">
        <f ca="1">SUM($L$47:$S$47)</f>
        <v>-3.9453578608862125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1.9391158253555041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1.9391158253555041</v>
      </c>
      <c r="AC47" s="13">
        <f>'TUSD BE'!$AC$47*'TUSD BE'!$AC$58</f>
        <v>-84.420331032897835</v>
      </c>
      <c r="AD47" s="13">
        <f>SUM($AC$47:$AC$47)</f>
        <v>-84.420331032897835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2.5760050391949663E-2</v>
      </c>
      <c r="AI47" s="13">
        <f>'TUSD BE'!$AI$47*'TUSD BE'!$AI$58</f>
        <v>1.0410220703000422E-3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2.6801072462249706E-2</v>
      </c>
      <c r="AM47" s="13">
        <f ca="1">SUMIF($L$4:$AL$4,"SUBTOTAL",$L$47:$AL$47)</f>
        <v>-86.39977199596629</v>
      </c>
      <c r="AO47" s="26">
        <f ca="1">+'TUSD BE'!$T$47+'TUSD BE'!$AB$47+'TUSD BE'!$AD$47+'TUSD BE'!$AL$47</f>
        <v>427.92143334423099</v>
      </c>
      <c r="AP47" s="26">
        <f ca="1">+'TUSD BE'!$T$47+'TUSD BE'!$AB$47+'TUSD BE'!$AD$47+'TUSD BE'!$AL$47</f>
        <v>427.92143334423099</v>
      </c>
    </row>
    <row r="48" spans="1:42" ht="11.25" customHeight="1" x14ac:dyDescent="0.3">
      <c r="A48" s="9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79</v>
      </c>
      <c r="H48" s="24" t="s">
        <v>72</v>
      </c>
      <c r="I48" s="24">
        <f>'MERCADO TUSD'!$U$45</f>
        <v>3233.996000000001</v>
      </c>
      <c r="J48" s="15"/>
      <c r="L48" s="13">
        <f>'TUSD BE'!$L$48*'TUSD BE'!$L$58</f>
        <v>0</v>
      </c>
      <c r="M48" s="13">
        <f>'TUSD BE'!$M$48*'TUSD BE'!$M$58</f>
        <v>-2.8808996589869861E-2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-3.3094422724308807</v>
      </c>
      <c r="R48" s="13">
        <f>'TUSD BE'!$R$48*'TUSD BE'!$R$58</f>
        <v>-0.60710659186546168</v>
      </c>
      <c r="S48" s="13">
        <f>'TUSD BE'!$R$48*'TUSD BE'!$S$58</f>
        <v>0</v>
      </c>
      <c r="T48" s="13">
        <f ca="1">SUM($L$48:$S$48)</f>
        <v>-3.9453578608862125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2.8108174149398146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2.8108174149398146</v>
      </c>
      <c r="AC48" s="13">
        <f>'TUSD BE'!$AC$48*'TUSD BE'!$AC$58</f>
        <v>-122.34819713087992</v>
      </c>
      <c r="AD48" s="13">
        <f>SUM($AC$48:$AC$48)</f>
        <v>-122.34819713087992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2.5760050391949663E-2</v>
      </c>
      <c r="AI48" s="13">
        <f>'TUSD BE'!$AI$48*'TUSD BE'!$AI$58</f>
        <v>1.0410220703000422E-3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2.6801072462249706E-2</v>
      </c>
      <c r="AM48" s="13">
        <f ca="1">SUMIF($L$4:$AL$4,"SUBTOTAL",$L$48:$AL$48)</f>
        <v>-123.45593650436408</v>
      </c>
      <c r="AO48" s="26">
        <f ca="1">+'TUSD BE'!$T$48+'TUSD BE'!$AB$48+'TUSD BE'!$AD$48+'TUSD BE'!$AL$48</f>
        <v>571.47756794167401</v>
      </c>
      <c r="AP48" s="26">
        <f ca="1">+'TUSD BE'!$T$48+'TUSD BE'!$AB$48+'TUSD BE'!$AD$48+'TUSD BE'!$AL$48</f>
        <v>571.47756794167401</v>
      </c>
    </row>
    <row r="49" spans="1:42" ht="11.25" customHeight="1" x14ac:dyDescent="0.3">
      <c r="A49" s="92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79</v>
      </c>
      <c r="H49" s="24" t="s">
        <v>72</v>
      </c>
      <c r="I49" s="24">
        <f>'MERCADO TUSD'!$U$46</f>
        <v>0</v>
      </c>
      <c r="J49" s="15"/>
      <c r="L49" s="13">
        <f>'TUSD BE'!$L$49*'TUSD BE'!$L$58</f>
        <v>0</v>
      </c>
      <c r="M49" s="13">
        <f>'TUSD BE'!$M$49*'TUSD BE'!$M$58</f>
        <v>-2.8808996589869861E-2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-3.3094422724308807</v>
      </c>
      <c r="R49" s="13">
        <f>'TUSD BE'!$R$49*'TUSD BE'!$R$58</f>
        <v>-0.60710659186546168</v>
      </c>
      <c r="S49" s="13">
        <f>'TUSD BE'!$R$49*'TUSD BE'!$S$58</f>
        <v>0</v>
      </c>
      <c r="T49" s="13">
        <f ca="1">SUM($L$49:$S$49)</f>
        <v>-3.9453578608862125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2.8108174149398146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2.8108174149398146</v>
      </c>
      <c r="AC49" s="13">
        <f>'TUSD BE'!$AC$49*'TUSD BE'!$AC$58</f>
        <v>-122.34819713087992</v>
      </c>
      <c r="AD49" s="13">
        <f>SUM($AC$49:$AC$49)</f>
        <v>-122.34819713087992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2.5760050391949663E-2</v>
      </c>
      <c r="AI49" s="13">
        <f>'TUSD BE'!$AI$49*'TUSD BE'!$AI$58</f>
        <v>1.0410220703000422E-3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2.6801072462249706E-2</v>
      </c>
      <c r="AM49" s="13">
        <f ca="1">SUMIF($L$4:$AL$4,"SUBTOTAL",$L$49:$AL$49)</f>
        <v>-123.45593650436408</v>
      </c>
      <c r="AO49" s="26">
        <f ca="1">+'TUSD BE'!$T$49+'TUSD BE'!$AB$49+'TUSD BE'!$AD$49+'TUSD BE'!$AL$49</f>
        <v>571.47756794167401</v>
      </c>
      <c r="AP49" s="26">
        <f ca="1">+'TUSD BE'!$T$49+'TUSD BE'!$AB$49+'TUSD BE'!$AD$49+'TUSD BE'!$AL$49</f>
        <v>571.47756794167401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23" t="s">
        <v>47</v>
      </c>
      <c r="E50" s="23" t="s">
        <v>25</v>
      </c>
      <c r="F50" s="23" t="s">
        <v>25</v>
      </c>
      <c r="G50" s="24" t="s">
        <v>79</v>
      </c>
      <c r="H50" s="24" t="s">
        <v>72</v>
      </c>
      <c r="I50" s="24">
        <f>'MERCADO TUSD'!$U$47</f>
        <v>1210.0279999999998</v>
      </c>
      <c r="J50" s="15"/>
      <c r="L50" s="13">
        <f>'TUSD BE'!$L$50*'TUSD BE'!$L$58</f>
        <v>0</v>
      </c>
      <c r="M50" s="13">
        <f>'TUSD BE'!$M$50*'TUSD BE'!$M$58</f>
        <v>-1.5844948124428423E-2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-1.8201932498369846</v>
      </c>
      <c r="R50" s="13">
        <f>'TUSD BE'!$R$50*'TUSD BE'!$R$58</f>
        <v>-0.33390862552600392</v>
      </c>
      <c r="S50" s="13">
        <f>'TUSD BE'!$R$50*'TUSD BE'!$S$58</f>
        <v>0</v>
      </c>
      <c r="T50" s="13">
        <f ca="1">SUM($L$50:$S$50)</f>
        <v>-2.1699468234874169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1.5459495782168979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1.5459495782168979</v>
      </c>
      <c r="AC50" s="13">
        <f>'TUSD BE'!$AC$50*'TUSD BE'!$AC$58</f>
        <v>-67.291508421983963</v>
      </c>
      <c r="AD50" s="13">
        <f>SUM($AC$50:$AC$50)</f>
        <v>-67.291508421983963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1.4168027715572318E-2</v>
      </c>
      <c r="AI50" s="13">
        <f>'TUSD BE'!$AI$50*'TUSD BE'!$AI$58</f>
        <v>5.7256213866502324E-4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1.4740589854237341E-2</v>
      </c>
      <c r="AM50" s="13">
        <f ca="1">SUMIF($L$4:$AL$4,"SUBTOTAL",$L$50:$AL$50)</f>
        <v>-67.900765077400237</v>
      </c>
      <c r="AO50" s="26">
        <f ca="1">+'TUSD BE'!$T$50+'TUSD BE'!$AB$50+'TUSD BE'!$AD$50+'TUSD BE'!$AL$50</f>
        <v>314.31266236792072</v>
      </c>
      <c r="AP50" s="26">
        <f ca="1">+'TUSD BE'!$T$50+'TUSD BE'!$AB$50+'TUSD BE'!$AD$50+'TUSD BE'!$AL$50</f>
        <v>314.31266236792072</v>
      </c>
    </row>
    <row r="51" spans="1:42" ht="11.25" customHeight="1" x14ac:dyDescent="0.3">
      <c r="A51" s="92"/>
      <c r="B51" s="92"/>
      <c r="C51" s="92"/>
      <c r="D51" s="24" t="s">
        <v>91</v>
      </c>
      <c r="E51" s="24" t="s">
        <v>25</v>
      </c>
      <c r="F51" s="24" t="s">
        <v>25</v>
      </c>
      <c r="G51" s="24" t="s">
        <v>79</v>
      </c>
      <c r="H51" s="24" t="s">
        <v>72</v>
      </c>
      <c r="I51" s="24">
        <f>'MERCADO TUSD'!$U$48</f>
        <v>0</v>
      </c>
      <c r="J51" s="15"/>
      <c r="L51" s="13">
        <f>'TUSD BE'!$L$51*'TUSD BE'!$L$58</f>
        <v>0</v>
      </c>
      <c r="M51" s="13">
        <f>'TUSD BE'!$M$51*'TUSD BE'!$M$58</f>
        <v>-1.7285397953921918E-2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-1.9856653634585284</v>
      </c>
      <c r="R51" s="13">
        <f>'TUSD BE'!$R$51*'TUSD BE'!$R$58</f>
        <v>-0.36426395511927695</v>
      </c>
      <c r="S51" s="13">
        <f>'TUSD BE'!$R$51*'TUSD BE'!$S$58</f>
        <v>0</v>
      </c>
      <c r="T51" s="13">
        <f ca="1">SUM($L$51:$S$51)</f>
        <v>-2.367214716531727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1.6864904489638886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1.6864904489638886</v>
      </c>
      <c r="AC51" s="13">
        <f>'TUSD BE'!$AC$51*'TUSD BE'!$AC$58</f>
        <v>-73.408918278527949</v>
      </c>
      <c r="AD51" s="13">
        <f>SUM($AC$51:$AC$51)</f>
        <v>-73.408918278527949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1.5456030235169799E-2</v>
      </c>
      <c r="AI51" s="13">
        <f>'TUSD BE'!$AI$51*'TUSD BE'!$AI$58</f>
        <v>6.2461324218002537E-4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1.6080643477349825E-2</v>
      </c>
      <c r="AM51" s="13">
        <f ca="1">SUMIF($L$4:$AL$4,"SUBTOTAL",$L$51:$AL$51)</f>
        <v>-74.073561902618437</v>
      </c>
      <c r="AO51" s="26">
        <f ca="1">+'TUSD BE'!$T$51+'TUSD BE'!$AB$51+'TUSD BE'!$AD$51+'TUSD BE'!$AL$51</f>
        <v>342.88654076500444</v>
      </c>
      <c r="AP51" s="26">
        <f ca="1">+'TUSD BE'!$T$51+'TUSD BE'!$AB$51+'TUSD BE'!$AD$51+'TUSD BE'!$AL$51</f>
        <v>342.88654076500444</v>
      </c>
    </row>
    <row r="53" spans="1:42" ht="11.25" customHeight="1" x14ac:dyDescent="0.3">
      <c r="K53" s="16" t="s">
        <v>533</v>
      </c>
      <c r="L53" s="13">
        <f>SUMPRODUCT($I$5:$I51,$L$5:$L51)</f>
        <v>0</v>
      </c>
      <c r="M53" s="13">
        <f>SUMPRODUCT($I$5:$I51,$M$5:$M51)</f>
        <v>-853.90027895057779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-120209.74283909067</v>
      </c>
      <c r="R53" s="13">
        <f>SUMPRODUCT($I$5:$I51,$R$5:$R51)</f>
        <v>-24479.030390304059</v>
      </c>
      <c r="S53" s="13">
        <f>SUMPRODUCT($I$5:$I51,$S$5:$S51)</f>
        <v>0</v>
      </c>
      <c r="T53" s="13">
        <f ca="1">SUMPRODUCT($I$5:$I51,$T$5:$T51)</f>
        <v>-145542.67350834532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101885.57692599653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101885.57692599653</v>
      </c>
      <c r="AC53" s="13">
        <f>SUMPRODUCT($I$5:$I51,$AC$5:$AC51)</f>
        <v>-3626354.5267763068</v>
      </c>
      <c r="AD53" s="13">
        <f>SUMPRODUCT($I$5:$I51,$AD$5:$AD51)</f>
        <v>-3626354.5267763068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654.8741056701972</v>
      </c>
      <c r="AI53" s="13">
        <f>SUMPRODUCT($I$5:$I51,$AI$5:$AI51)</f>
        <v>26.464948123072347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681.3390537932695</v>
      </c>
      <c r="AM53" s="13">
        <f ca="1">SUMPRODUCT($I$5:$I51,$AM$5:$AM51)</f>
        <v>-3669330.2843048624</v>
      </c>
      <c r="AO53" s="24">
        <f ca="1">SUMPRODUCT($I$5:$I51,$AO$5:$AO51)</f>
        <v>18457190.001831315</v>
      </c>
      <c r="AP53" s="24">
        <f ca="1">SUMPRODUCT($I$5:$I51,$AP$5:$AP51)</f>
        <v>18457190.001831315</v>
      </c>
    </row>
    <row r="54" spans="1:42" ht="11.25" customHeight="1" x14ac:dyDescent="0.3">
      <c r="K54" s="16" t="s">
        <v>465</v>
      </c>
      <c r="L54" s="13">
        <f>'TR TUSD'!$L$56</f>
        <v>0</v>
      </c>
      <c r="M54" s="13">
        <f>'TR TUSD'!$M$56</f>
        <v>46023.713893769425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3294285.67936</v>
      </c>
      <c r="R54" s="13">
        <f>'TR TUSD'!$R$56</f>
        <v>577427.02811999992</v>
      </c>
      <c r="S54" s="13">
        <f>'TR TUSD'!$S$56</f>
        <v>0</v>
      </c>
      <c r="T54" s="13">
        <f>'TR TUSD'!$T$56</f>
        <v>3917736.4213737692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4210458.682</v>
      </c>
      <c r="Z54" s="13">
        <f>'TR TUSD'!$Z$56</f>
        <v>0</v>
      </c>
      <c r="AA54" s="13">
        <f>'TR TUSD'!$AA$56</f>
        <v>0</v>
      </c>
      <c r="AB54" s="13">
        <f>'TR TUSD'!$AB$56</f>
        <v>4210458.682</v>
      </c>
      <c r="AC54" s="13">
        <f>'TR TUSD'!$AC$56</f>
        <v>10281408.04154011</v>
      </c>
      <c r="AD54" s="13">
        <f>'TR TUSD'!$AD$56</f>
        <v>10281408.04154011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45738.461918426372</v>
      </c>
      <c r="AI54" s="13">
        <f>'TR TUSD'!$AI$56</f>
        <v>1848.3949990074575</v>
      </c>
      <c r="AJ54" s="13">
        <f>'TR TUSD'!$AJ$56</f>
        <v>0</v>
      </c>
      <c r="AK54" s="13">
        <f>'TR TUSD'!$AK$56</f>
        <v>0</v>
      </c>
      <c r="AL54" s="13">
        <f>'TR TUSD'!$AL$56</f>
        <v>47586.856917433826</v>
      </c>
      <c r="AM54" s="13">
        <f>'TUSD BE'!$AM$54</f>
        <v>18457190.001831315</v>
      </c>
      <c r="AO54" s="24">
        <f>$AE$55</f>
        <v>0</v>
      </c>
      <c r="AP54" s="24">
        <f>$AF$55</f>
        <v>0</v>
      </c>
    </row>
    <row r="55" spans="1:42" ht="11.25" customHeight="1" x14ac:dyDescent="0.3">
      <c r="K55" s="16" t="s">
        <v>466</v>
      </c>
      <c r="L55" s="13">
        <f>CUSTOS!$E$2</f>
        <v>0</v>
      </c>
      <c r="M55" s="13">
        <f>CUSTOS!$E$3</f>
        <v>-853.90027895057767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-120209.74283909067</v>
      </c>
      <c r="R55" s="13">
        <f>CUSTOS!$E$8</f>
        <v>-24479.030390304055</v>
      </c>
      <c r="S55" s="13">
        <f>CUSTOS!$E$9</f>
        <v>0</v>
      </c>
      <c r="T55" s="13">
        <f>CUSTOS!$E$10</f>
        <v>-145542.67350834529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101885.57692599652</v>
      </c>
      <c r="Z55" s="13">
        <f>CUSTOS!$E$16</f>
        <v>0</v>
      </c>
      <c r="AA55" s="13">
        <f>CUSTOS!$E$17</f>
        <v>0</v>
      </c>
      <c r="AB55" s="13">
        <f>CUSTOS!$E$18</f>
        <v>101885.57692599652</v>
      </c>
      <c r="AC55" s="13">
        <f>CUSTOS!$E$19</f>
        <v>-3626354.5267763063</v>
      </c>
      <c r="AD55" s="13">
        <f>CUSTOS!$E$20</f>
        <v>-3626354.5267763063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654.8741056701972</v>
      </c>
      <c r="AI55" s="13">
        <f>CUSTOS!$E$25</f>
        <v>26.464948123072343</v>
      </c>
      <c r="AJ55" s="13">
        <f>CUSTOS!$E$26</f>
        <v>0</v>
      </c>
      <c r="AK55" s="13">
        <f>CUSTOS!$E$27</f>
        <v>0</v>
      </c>
      <c r="AL55" s="13">
        <f>CUSTOS!$E$28</f>
        <v>681.3390537932695</v>
      </c>
      <c r="AM55" s="13">
        <f>CUSTOS!$E$29</f>
        <v>-3669330.2843048619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3">
      <c r="K56" s="16" t="s">
        <v>467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530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3">
      <c r="K58" s="16" t="s">
        <v>542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92" priority="55" operator="notEqual">
      <formula>$L$55</formula>
    </cfRule>
    <cfRule type="cellIs" dxfId="791" priority="56" operator="equal">
      <formula>$L$55</formula>
    </cfRule>
  </conditionalFormatting>
  <conditionalFormatting sqref="M53">
    <cfRule type="cellIs" dxfId="790" priority="53" operator="notEqual">
      <formula>$M$55</formula>
    </cfRule>
    <cfRule type="cellIs" dxfId="789" priority="54" operator="equal">
      <formula>$M$55</formula>
    </cfRule>
  </conditionalFormatting>
  <conditionalFormatting sqref="N53">
    <cfRule type="cellIs" dxfId="788" priority="51" operator="notEqual">
      <formula>$N$55</formula>
    </cfRule>
    <cfRule type="cellIs" dxfId="787" priority="52" operator="equal">
      <formula>$N$55</formula>
    </cfRule>
  </conditionalFormatting>
  <conditionalFormatting sqref="O53">
    <cfRule type="cellIs" dxfId="786" priority="49" operator="notEqual">
      <formula>$O$55</formula>
    </cfRule>
    <cfRule type="cellIs" dxfId="785" priority="50" operator="equal">
      <formula>$O$55</formula>
    </cfRule>
  </conditionalFormatting>
  <conditionalFormatting sqref="P53">
    <cfRule type="cellIs" dxfId="784" priority="47" operator="notEqual">
      <formula>$P$55</formula>
    </cfRule>
    <cfRule type="cellIs" dxfId="783" priority="48" operator="equal">
      <formula>$P$55</formula>
    </cfRule>
  </conditionalFormatting>
  <conditionalFormatting sqref="Q53">
    <cfRule type="cellIs" dxfId="782" priority="45" operator="notEqual">
      <formula>$Q$55</formula>
    </cfRule>
    <cfRule type="cellIs" dxfId="781" priority="46" operator="equal">
      <formula>$Q$55</formula>
    </cfRule>
  </conditionalFormatting>
  <conditionalFormatting sqref="R53">
    <cfRule type="cellIs" dxfId="780" priority="43" operator="notEqual">
      <formula>$R$55</formula>
    </cfRule>
    <cfRule type="cellIs" dxfId="779" priority="44" operator="equal">
      <formula>$R$55</formula>
    </cfRule>
  </conditionalFormatting>
  <conditionalFormatting sqref="S53">
    <cfRule type="cellIs" dxfId="778" priority="41" operator="notEqual">
      <formula>$S$55</formula>
    </cfRule>
    <cfRule type="cellIs" dxfId="777" priority="42" operator="equal">
      <formula>$S$55</formula>
    </cfRule>
  </conditionalFormatting>
  <conditionalFormatting sqref="T53">
    <cfRule type="cellIs" dxfId="776" priority="39" operator="notEqual">
      <formula>$T$55</formula>
    </cfRule>
    <cfRule type="cellIs" dxfId="775" priority="40" operator="equal">
      <formula>$T$55</formula>
    </cfRule>
  </conditionalFormatting>
  <conditionalFormatting sqref="U53">
    <cfRule type="cellIs" dxfId="774" priority="37" operator="notEqual">
      <formula>$U$55</formula>
    </cfRule>
    <cfRule type="cellIs" dxfId="773" priority="38" operator="equal">
      <formula>$U$55</formula>
    </cfRule>
  </conditionalFormatting>
  <conditionalFormatting sqref="V53">
    <cfRule type="cellIs" dxfId="772" priority="35" operator="notEqual">
      <formula>$V$55</formula>
    </cfRule>
    <cfRule type="cellIs" dxfId="771" priority="36" operator="equal">
      <formula>$V$55</formula>
    </cfRule>
  </conditionalFormatting>
  <conditionalFormatting sqref="W53">
    <cfRule type="cellIs" dxfId="770" priority="33" operator="notEqual">
      <formula>$W$55</formula>
    </cfRule>
    <cfRule type="cellIs" dxfId="769" priority="34" operator="equal">
      <formula>$W$55</formula>
    </cfRule>
  </conditionalFormatting>
  <conditionalFormatting sqref="X53">
    <cfRule type="cellIs" dxfId="768" priority="31" operator="notEqual">
      <formula>$X$55</formula>
    </cfRule>
    <cfRule type="cellIs" dxfId="767" priority="32" operator="equal">
      <formula>$X$55</formula>
    </cfRule>
  </conditionalFormatting>
  <conditionalFormatting sqref="Y53">
    <cfRule type="cellIs" dxfId="766" priority="29" operator="notEqual">
      <formula>$Y$55</formula>
    </cfRule>
    <cfRule type="cellIs" dxfId="765" priority="30" operator="equal">
      <formula>$Y$55</formula>
    </cfRule>
  </conditionalFormatting>
  <conditionalFormatting sqref="Z53">
    <cfRule type="cellIs" dxfId="764" priority="27" operator="notEqual">
      <formula>$Z$55</formula>
    </cfRule>
    <cfRule type="cellIs" dxfId="763" priority="28" operator="equal">
      <formula>$Z$55</formula>
    </cfRule>
  </conditionalFormatting>
  <conditionalFormatting sqref="AA53">
    <cfRule type="cellIs" dxfId="762" priority="25" operator="notEqual">
      <formula>$AA$55</formula>
    </cfRule>
    <cfRule type="cellIs" dxfId="761" priority="26" operator="equal">
      <formula>$AA$55</formula>
    </cfRule>
  </conditionalFormatting>
  <conditionalFormatting sqref="AB53">
    <cfRule type="cellIs" dxfId="760" priority="23" operator="notEqual">
      <formula>$AB$55</formula>
    </cfRule>
    <cfRule type="cellIs" dxfId="759" priority="24" operator="equal">
      <formula>$AB$55</formula>
    </cfRule>
  </conditionalFormatting>
  <conditionalFormatting sqref="AC53">
    <cfRule type="cellIs" dxfId="758" priority="21" operator="notEqual">
      <formula>$AC$55</formula>
    </cfRule>
    <cfRule type="cellIs" dxfId="757" priority="22" operator="equal">
      <formula>$AC$55</formula>
    </cfRule>
  </conditionalFormatting>
  <conditionalFormatting sqref="AD53">
    <cfRule type="cellIs" dxfId="756" priority="19" operator="notEqual">
      <formula>$AD$55</formula>
    </cfRule>
    <cfRule type="cellIs" dxfId="755" priority="20" operator="equal">
      <formula>$AD$55</formula>
    </cfRule>
  </conditionalFormatting>
  <conditionalFormatting sqref="AE53">
    <cfRule type="cellIs" dxfId="754" priority="17" operator="notEqual">
      <formula>$AE$55</formula>
    </cfRule>
    <cfRule type="cellIs" dxfId="753" priority="18" operator="equal">
      <formula>$AE$55</formula>
    </cfRule>
  </conditionalFormatting>
  <conditionalFormatting sqref="AF53">
    <cfRule type="cellIs" dxfId="752" priority="16" operator="equal">
      <formula>$AF$55</formula>
    </cfRule>
  </conditionalFormatting>
  <conditionalFormatting sqref="AF53">
    <cfRule type="cellIs" dxfId="751" priority="15" operator="notEqual">
      <formula>$AF$55</formula>
    </cfRule>
  </conditionalFormatting>
  <conditionalFormatting sqref="AG53">
    <cfRule type="cellIs" dxfId="750" priority="14" operator="equal">
      <formula>$AG$55</formula>
    </cfRule>
  </conditionalFormatting>
  <conditionalFormatting sqref="AG53">
    <cfRule type="cellIs" dxfId="749" priority="13" operator="notEqual">
      <formula>$AG$55</formula>
    </cfRule>
  </conditionalFormatting>
  <conditionalFormatting sqref="AH53">
    <cfRule type="cellIs" dxfId="748" priority="12" operator="equal">
      <formula>$AH$55</formula>
    </cfRule>
  </conditionalFormatting>
  <conditionalFormatting sqref="AH53">
    <cfRule type="cellIs" dxfId="747" priority="11" operator="notEqual">
      <formula>$AH$55</formula>
    </cfRule>
  </conditionalFormatting>
  <conditionalFormatting sqref="AI53">
    <cfRule type="cellIs" dxfId="746" priority="10" operator="equal">
      <formula>$AI$55</formula>
    </cfRule>
  </conditionalFormatting>
  <conditionalFormatting sqref="AI53">
    <cfRule type="cellIs" dxfId="745" priority="9" operator="notEqual">
      <formula>$AI$55</formula>
    </cfRule>
  </conditionalFormatting>
  <conditionalFormatting sqref="AJ53">
    <cfRule type="cellIs" dxfId="744" priority="8" operator="equal">
      <formula>$AJ$55</formula>
    </cfRule>
  </conditionalFormatting>
  <conditionalFormatting sqref="AJ53">
    <cfRule type="cellIs" dxfId="743" priority="7" operator="notEqual">
      <formula>$AJ$55</formula>
    </cfRule>
  </conditionalFormatting>
  <conditionalFormatting sqref="AK53">
    <cfRule type="cellIs" dxfId="742" priority="6" operator="equal">
      <formula>$AK$55</formula>
    </cfRule>
  </conditionalFormatting>
  <conditionalFormatting sqref="AK53">
    <cfRule type="cellIs" dxfId="741" priority="5" operator="notEqual">
      <formula>$AK$55</formula>
    </cfRule>
  </conditionalFormatting>
  <conditionalFormatting sqref="AL53">
    <cfRule type="cellIs" dxfId="740" priority="4" operator="equal">
      <formula>$AL$55</formula>
    </cfRule>
  </conditionalFormatting>
  <conditionalFormatting sqref="AL53">
    <cfRule type="cellIs" dxfId="739" priority="3" operator="notEqual">
      <formula>$AL$55</formula>
    </cfRule>
  </conditionalFormatting>
  <conditionalFormatting sqref="AM53">
    <cfRule type="cellIs" dxfId="738" priority="2" operator="equal">
      <formula>$AM$55</formula>
    </cfRule>
  </conditionalFormatting>
  <conditionalFormatting sqref="AM53">
    <cfRule type="cellIs" dxfId="737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93AA-560F-4D8C-89DA-80C18774B600}">
  <dimension ref="A1:AP57"/>
  <sheetViews>
    <sheetView showGridLines="0" topLeftCell="AA29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6" width="4.8867187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8.6640625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.88671875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93" t="s">
        <v>62</v>
      </c>
      <c r="B1" s="93" t="s">
        <v>63</v>
      </c>
      <c r="C1" s="93" t="s">
        <v>64</v>
      </c>
      <c r="D1" s="93" t="s">
        <v>65</v>
      </c>
      <c r="E1" s="93" t="s">
        <v>66</v>
      </c>
      <c r="F1" s="93" t="s">
        <v>15</v>
      </c>
      <c r="G1" s="93" t="s">
        <v>68</v>
      </c>
      <c r="H1" s="93" t="s">
        <v>69</v>
      </c>
      <c r="I1" s="93" t="s">
        <v>524</v>
      </c>
      <c r="J1" s="85"/>
      <c r="L1" s="94" t="s">
        <v>544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O1" s="26"/>
      <c r="AP1" s="97" t="s">
        <v>526</v>
      </c>
    </row>
    <row r="2" spans="1:42" ht="11.25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85"/>
      <c r="L2" s="94" t="s">
        <v>423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  <c r="AO2" s="26"/>
      <c r="AP2" s="98"/>
    </row>
    <row r="3" spans="1:42" ht="11.25" customHeight="1" x14ac:dyDescent="0.3">
      <c r="A3" s="93"/>
      <c r="B3" s="93"/>
      <c r="C3" s="93"/>
      <c r="D3" s="93"/>
      <c r="E3" s="93"/>
      <c r="F3" s="93"/>
      <c r="G3" s="93"/>
      <c r="H3" s="93"/>
      <c r="I3" s="93"/>
      <c r="J3" s="85"/>
      <c r="L3" s="94" t="s">
        <v>424</v>
      </c>
      <c r="M3" s="94"/>
      <c r="N3" s="94"/>
      <c r="O3" s="94"/>
      <c r="P3" s="94"/>
      <c r="Q3" s="94"/>
      <c r="R3" s="94"/>
      <c r="S3" s="94"/>
      <c r="T3" s="94"/>
      <c r="U3" s="94" t="s">
        <v>433</v>
      </c>
      <c r="V3" s="94"/>
      <c r="W3" s="94"/>
      <c r="X3" s="94"/>
      <c r="Y3" s="94"/>
      <c r="Z3" s="94"/>
      <c r="AA3" s="94"/>
      <c r="AB3" s="94"/>
      <c r="AC3" s="94" t="s">
        <v>441</v>
      </c>
      <c r="AD3" s="94"/>
      <c r="AE3" s="94" t="s">
        <v>443</v>
      </c>
      <c r="AF3" s="94"/>
      <c r="AG3" s="94"/>
      <c r="AH3" s="94" t="s">
        <v>446</v>
      </c>
      <c r="AI3" s="94"/>
      <c r="AJ3" s="94"/>
      <c r="AK3" s="94"/>
      <c r="AL3" s="94"/>
      <c r="AM3" s="94" t="s">
        <v>432</v>
      </c>
      <c r="AO3" s="26"/>
      <c r="AP3" s="98"/>
    </row>
    <row r="4" spans="1:42" ht="11.25" customHeight="1" x14ac:dyDescent="0.3">
      <c r="A4" s="93"/>
      <c r="B4" s="93"/>
      <c r="C4" s="93"/>
      <c r="D4" s="93"/>
      <c r="E4" s="93"/>
      <c r="F4" s="93"/>
      <c r="G4" s="93"/>
      <c r="H4" s="93"/>
      <c r="I4" s="93"/>
      <c r="J4" s="85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6"/>
      <c r="AO4" s="27" t="s">
        <v>543</v>
      </c>
      <c r="AP4" s="99"/>
    </row>
    <row r="5" spans="1:42" ht="11.25" customHeight="1" x14ac:dyDescent="0.3">
      <c r="A5" s="92" t="s">
        <v>35</v>
      </c>
      <c r="B5" s="92" t="s">
        <v>75</v>
      </c>
      <c r="C5" s="92" t="s">
        <v>25</v>
      </c>
      <c r="D5" s="92" t="s">
        <v>25</v>
      </c>
      <c r="E5" s="92" t="s">
        <v>25</v>
      </c>
      <c r="F5" s="92" t="s">
        <v>25</v>
      </c>
      <c r="G5" s="24" t="s">
        <v>77</v>
      </c>
      <c r="H5" s="24" t="s">
        <v>76</v>
      </c>
      <c r="I5" s="24">
        <f>'MERCADO TUSD'!$U$2</f>
        <v>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6">
        <f ca="1">+'TUSD BE'!$T$5+'TUSD BE'!$AB$5+'TUSD BE'!$AD$5+'TUSD BE'!$AL$5</f>
        <v>118.97036004058782</v>
      </c>
      <c r="AP5" s="26">
        <f ca="1">+'TUSD BE'!$T$5+'TUSD BE'!$AB$5+'TUSD BE'!$AD$5+'TUSD BE'!$AL$5</f>
        <v>118.97036004058782</v>
      </c>
    </row>
    <row r="6" spans="1:42" ht="11.25" customHeight="1" x14ac:dyDescent="0.3">
      <c r="A6" s="92"/>
      <c r="B6" s="92"/>
      <c r="C6" s="92"/>
      <c r="D6" s="92"/>
      <c r="E6" s="92"/>
      <c r="F6" s="92"/>
      <c r="G6" s="24" t="s">
        <v>78</v>
      </c>
      <c r="H6" s="24" t="s">
        <v>76</v>
      </c>
      <c r="I6" s="24">
        <f>'MERCADO TUSD'!$U$3</f>
        <v>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6">
        <f ca="1">+'TUSD BE'!$T$6+'TUSD BE'!$AB$6+'TUSD BE'!$AD$6+'TUSD BE'!$AL$6</f>
        <v>37.688217313754656</v>
      </c>
      <c r="AP6" s="26">
        <f ca="1">+'TUSD BE'!$T$6+'TUSD BE'!$AB$6+'TUSD BE'!$AD$6+'TUSD BE'!$AL$6</f>
        <v>37.688217313754656</v>
      </c>
    </row>
    <row r="7" spans="1:42" ht="11.25" customHeight="1" x14ac:dyDescent="0.3">
      <c r="A7" s="92"/>
      <c r="B7" s="92"/>
      <c r="C7" s="92"/>
      <c r="D7" s="92"/>
      <c r="E7" s="92"/>
      <c r="F7" s="92"/>
      <c r="G7" s="24" t="s">
        <v>79</v>
      </c>
      <c r="H7" s="24" t="s">
        <v>72</v>
      </c>
      <c r="I7" s="24">
        <f>'MERCADO TUSD'!$U$4</f>
        <v>0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6">
        <f ca="1">+'TUSD BE'!$T$7+'TUSD BE'!$AB$7+'TUSD BE'!$AD$7+'TUSD BE'!$AL$7</f>
        <v>92.087869627892672</v>
      </c>
      <c r="AP7" s="26">
        <f ca="1">+'TUSD BE'!$T$7+'TUSD BE'!$AB$7+'TUSD BE'!$AD$7+'TUSD BE'!$AL$7</f>
        <v>92.087869627892672</v>
      </c>
    </row>
    <row r="8" spans="1:42" ht="11.25" customHeight="1" x14ac:dyDescent="0.3">
      <c r="A8" s="92"/>
      <c r="B8" s="92"/>
      <c r="C8" s="92"/>
      <c r="D8" s="92"/>
      <c r="E8" s="23" t="s">
        <v>80</v>
      </c>
      <c r="F8" s="23" t="s">
        <v>25</v>
      </c>
      <c r="G8" s="24" t="s">
        <v>79</v>
      </c>
      <c r="H8" s="24" t="s">
        <v>72</v>
      </c>
      <c r="I8" s="24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6">
        <f ca="1">+'TUSD BE'!$T$8+'TUSD BE'!$AB$8+'TUSD BE'!$AD$8+'TUSD BE'!$AL$8</f>
        <v>1.5844692369692825</v>
      </c>
      <c r="AP8" s="26">
        <f ca="1">+'TUSD BE'!$T$8+'TUSD BE'!$AB$8+'TUSD BE'!$AD$8+'TUSD BE'!$AL$8</f>
        <v>1.5844692369692825</v>
      </c>
    </row>
    <row r="9" spans="1:42" ht="11.25" customHeight="1" x14ac:dyDescent="0.3">
      <c r="A9" s="92"/>
      <c r="B9" s="23" t="s">
        <v>81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76</v>
      </c>
      <c r="I9" s="24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6">
        <f ca="1">+'TUSD BE'!$T$9+'TUSD BE'!$AB$9+'TUSD BE'!$AD$9+'TUSD BE'!$AL$9</f>
        <v>10.547299863262342</v>
      </c>
      <c r="AP9" s="26">
        <f ca="1">+'TUSD BE'!$T$9+'TUSD BE'!$AB$9+'TUSD BE'!$AD$9+'TUSD BE'!$AL$9</f>
        <v>10.547299863262342</v>
      </c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24" t="s">
        <v>9</v>
      </c>
      <c r="H10" s="24" t="s">
        <v>76</v>
      </c>
      <c r="I10" s="24">
        <f>'MERCADO TUSD'!$U$7</f>
        <v>72477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6">
        <f ca="1">+'TUSD BE'!$T$10+'TUSD BE'!$AB$10+'TUSD BE'!$AD$10+'TUSD BE'!$AL$10</f>
        <v>37.688217313754656</v>
      </c>
      <c r="AP10" s="26">
        <f ca="1">+'TUSD BE'!$T$10+'TUSD BE'!$AB$10+'TUSD BE'!$AD$10+'TUSD BE'!$AL$10</f>
        <v>37.688217313754656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24" t="s">
        <v>73</v>
      </c>
      <c r="H11" s="24" t="s">
        <v>72</v>
      </c>
      <c r="I11" s="24">
        <f>'MERCADO TUSD'!$U$8</f>
        <v>1557.202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6">
        <f ca="1">+'TUSD BE'!$T$11+'TUSD BE'!$AB$11+'TUSD BE'!$AD$11+'TUSD BE'!$AL$11</f>
        <v>2953.6679701426633</v>
      </c>
      <c r="AP11" s="26">
        <f ca="1">+'TUSD BE'!$T$11+'TUSD BE'!$AB$11+'TUSD BE'!$AD$11+'TUSD BE'!$AL$11</f>
        <v>2953.6679701426633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24" t="s">
        <v>74</v>
      </c>
      <c r="H12" s="24" t="s">
        <v>72</v>
      </c>
      <c r="I12" s="24">
        <f>'MERCADO TUSD'!$U$9</f>
        <v>23427.474000000002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6">
        <f ca="1">+'TUSD BE'!$T$12+'TUSD BE'!$AB$12+'TUSD BE'!$AD$12+'TUSD BE'!$AL$12</f>
        <v>92.087869627892672</v>
      </c>
      <c r="AP12" s="26">
        <f ca="1">+'TUSD BE'!$T$12+'TUSD BE'!$AB$12+'TUSD BE'!$AD$12+'TUSD BE'!$AL$12</f>
        <v>92.087869627892672</v>
      </c>
    </row>
    <row r="13" spans="1:42" ht="11.25" customHeight="1" x14ac:dyDescent="0.3">
      <c r="A13" s="92"/>
      <c r="B13" s="92"/>
      <c r="C13" s="92"/>
      <c r="D13" s="92"/>
      <c r="E13" s="92" t="s">
        <v>80</v>
      </c>
      <c r="F13" s="92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6">
        <f ca="1">+'TUSD BE'!$T$13+'TUSD BE'!$AB$13+'TUSD BE'!$AD$13+'TUSD BE'!$AL$13</f>
        <v>2863.1645697517401</v>
      </c>
      <c r="AP13" s="26">
        <f ca="1">+'TUSD BE'!$T$13+'TUSD BE'!$AB$13+'TUSD BE'!$AD$13+'TUSD BE'!$AL$13</f>
        <v>2863.1645697517401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24" t="s">
        <v>74</v>
      </c>
      <c r="H14" s="24" t="s">
        <v>72</v>
      </c>
      <c r="I14" s="24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6">
        <f ca="1">+'TUSD BE'!$T$14+'TUSD BE'!$AB$14+'TUSD BE'!$AD$14+'TUSD BE'!$AL$14</f>
        <v>1.5844692369692825</v>
      </c>
      <c r="AP14" s="26">
        <f ca="1">+'TUSD BE'!$T$14+'TUSD BE'!$AB$14+'TUSD BE'!$AD$14+'TUSD BE'!$AL$14</f>
        <v>1.5844692369692825</v>
      </c>
    </row>
    <row r="15" spans="1:42" ht="11.25" customHeight="1" x14ac:dyDescent="0.3">
      <c r="A15" s="92" t="s">
        <v>82</v>
      </c>
      <c r="B15" s="92" t="s">
        <v>81</v>
      </c>
      <c r="C15" s="92" t="s">
        <v>25</v>
      </c>
      <c r="D15" s="92" t="s">
        <v>25</v>
      </c>
      <c r="E15" s="23" t="s">
        <v>83</v>
      </c>
      <c r="F15" s="23" t="s">
        <v>25</v>
      </c>
      <c r="G15" s="24" t="s">
        <v>9</v>
      </c>
      <c r="H15" s="24" t="s">
        <v>76</v>
      </c>
      <c r="I15" s="24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6">
        <f ca="1">+'TUSD BE'!$T$15+'TUSD BE'!$AB$15+'TUSD BE'!$AD$15+'TUSD BE'!$AL$15</f>
        <v>10.879378419260176</v>
      </c>
      <c r="AP15" s="26">
        <f ca="1">+'TUSD BE'!$T$15+'TUSD BE'!$AB$15+'TUSD BE'!$AD$15+'TUSD BE'!$AL$15</f>
        <v>10.879378419260176</v>
      </c>
    </row>
    <row r="16" spans="1:42" ht="11.25" customHeight="1" x14ac:dyDescent="0.3">
      <c r="A16" s="92"/>
      <c r="B16" s="92"/>
      <c r="C16" s="92"/>
      <c r="D16" s="92"/>
      <c r="E16" s="23" t="s">
        <v>84</v>
      </c>
      <c r="F16" s="23" t="s">
        <v>25</v>
      </c>
      <c r="G16" s="24" t="s">
        <v>9</v>
      </c>
      <c r="H16" s="24" t="s">
        <v>76</v>
      </c>
      <c r="I16" s="24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6">
        <f ca="1">+'TUSD BE'!$T$16+'TUSD BE'!$AB$16+'TUSD BE'!$AD$16+'TUSD BE'!$AL$16</f>
        <v>22.123301371243251</v>
      </c>
      <c r="AP16" s="26">
        <f ca="1">+'TUSD BE'!$T$16+'TUSD BE'!$AB$16+'TUSD BE'!$AD$16+'TUSD BE'!$AL$16</f>
        <v>22.123301371243251</v>
      </c>
    </row>
    <row r="17" spans="1:42" ht="11.25" customHeight="1" x14ac:dyDescent="0.3">
      <c r="A17" s="92" t="s">
        <v>22</v>
      </c>
      <c r="B17" s="92" t="s">
        <v>40</v>
      </c>
      <c r="C17" s="92" t="s">
        <v>24</v>
      </c>
      <c r="D17" s="92" t="s">
        <v>24</v>
      </c>
      <c r="E17" s="92" t="s">
        <v>25</v>
      </c>
      <c r="F17" s="92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6">
        <f ca="1">+'TUSD BE'!$T$17+'TUSD BE'!$AB$17+'TUSD BE'!$AD$17+'TUSD BE'!$AL$17</f>
        <v>1358.7861019851321</v>
      </c>
      <c r="AP17" s="26">
        <f ca="1">+'TUSD BE'!$T$17+'TUSD BE'!$AB$17+'TUSD BE'!$AD$17+'TUSD BE'!$AL$17</f>
        <v>1358.7861019851321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24" t="s">
        <v>85</v>
      </c>
      <c r="H18" s="24" t="s">
        <v>72</v>
      </c>
      <c r="I18" s="24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6">
        <f ca="1">+'TUSD BE'!$T$18+'TUSD BE'!$AB$18+'TUSD BE'!$AD$18+'TUSD BE'!$AL$18</f>
        <v>858.64760951166261</v>
      </c>
      <c r="AP18" s="26">
        <f ca="1">+'TUSD BE'!$T$18+'TUSD BE'!$AB$18+'TUSD BE'!$AD$18+'TUSD BE'!$AL$18</f>
        <v>858.64760951166261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24" t="s">
        <v>74</v>
      </c>
      <c r="H19" s="24" t="s">
        <v>72</v>
      </c>
      <c r="I19" s="24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6">
        <f ca="1">+'TUSD BE'!$T$19+'TUSD BE'!$AB$19+'TUSD BE'!$AD$19+'TUSD BE'!$AL$19</f>
        <v>358.56552447254114</v>
      </c>
      <c r="AP19" s="26">
        <f ca="1">+'TUSD BE'!$T$19+'TUSD BE'!$AB$19+'TUSD BE'!$AD$19+'TUSD BE'!$AL$19</f>
        <v>358.56552447254114</v>
      </c>
    </row>
    <row r="20" spans="1:42" ht="11.25" customHeight="1" x14ac:dyDescent="0.3">
      <c r="A20" s="92"/>
      <c r="B20" s="92" t="s">
        <v>23</v>
      </c>
      <c r="C20" s="92" t="s">
        <v>24</v>
      </c>
      <c r="D20" s="23" t="s">
        <v>24</v>
      </c>
      <c r="E20" s="23" t="s">
        <v>25</v>
      </c>
      <c r="F20" s="23" t="s">
        <v>25</v>
      </c>
      <c r="G20" s="24" t="s">
        <v>79</v>
      </c>
      <c r="H20" s="24" t="s">
        <v>72</v>
      </c>
      <c r="I20" s="24">
        <f>'MERCADO TUSD'!$U$17</f>
        <v>5913.8329999999996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6">
        <f ca="1">+'TUSD BE'!$T$20+'TUSD BE'!$AB$20+'TUSD BE'!$AD$20+'TUSD BE'!$AL$20</f>
        <v>571.47756794167401</v>
      </c>
      <c r="AP20" s="26">
        <f ca="1">+'TUSD BE'!$T$20+'TUSD BE'!$AB$20+'TUSD BE'!$AD$20+'TUSD BE'!$AL$20</f>
        <v>571.47756794167401</v>
      </c>
    </row>
    <row r="21" spans="1:42" ht="11.25" customHeight="1" x14ac:dyDescent="0.3">
      <c r="A21" s="92"/>
      <c r="B21" s="92"/>
      <c r="C21" s="92"/>
      <c r="D21" s="23" t="s">
        <v>29</v>
      </c>
      <c r="E21" s="23" t="s">
        <v>25</v>
      </c>
      <c r="F21" s="23" t="s">
        <v>25</v>
      </c>
      <c r="G21" s="24" t="s">
        <v>79</v>
      </c>
      <c r="H21" s="24" t="s">
        <v>72</v>
      </c>
      <c r="I21" s="24">
        <f>'MERCADO TUSD'!$U$18</f>
        <v>78.629000000000005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6">
        <f ca="1">+'TUSD BE'!$T$21+'TUSD BE'!$AB$21+'TUSD BE'!$AD$21+'TUSD BE'!$AL$21</f>
        <v>466.46319960123111</v>
      </c>
      <c r="AP21" s="26">
        <f ca="1">+'TUSD BE'!$T$21+'TUSD BE'!$AB$21+'TUSD BE'!$AD$21+'TUSD BE'!$AL$21</f>
        <v>466.46319960123111</v>
      </c>
    </row>
    <row r="22" spans="1:42" ht="11.25" customHeight="1" x14ac:dyDescent="0.3">
      <c r="A22" s="92"/>
      <c r="B22" s="92"/>
      <c r="C22" s="92"/>
      <c r="D22" s="23" t="s">
        <v>30</v>
      </c>
      <c r="E22" s="23" t="s">
        <v>25</v>
      </c>
      <c r="F22" s="23" t="s">
        <v>25</v>
      </c>
      <c r="G22" s="24" t="s">
        <v>79</v>
      </c>
      <c r="H22" s="24" t="s">
        <v>72</v>
      </c>
      <c r="I22" s="24">
        <f>'MERCADO TUSD'!$U$19</f>
        <v>159.86900000000003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6">
        <f ca="1">+'TUSD BE'!$T$22+'TUSD BE'!$AB$22+'TUSD BE'!$AD$22+'TUSD BE'!$AL$22</f>
        <v>466.46319960123111</v>
      </c>
      <c r="AP22" s="26">
        <f ca="1">+'TUSD BE'!$T$22+'TUSD BE'!$AB$22+'TUSD BE'!$AD$22+'TUSD BE'!$AL$22</f>
        <v>466.46319960123111</v>
      </c>
    </row>
    <row r="23" spans="1:42" ht="11.25" customHeight="1" x14ac:dyDescent="0.3">
      <c r="A23" s="92"/>
      <c r="B23" s="92"/>
      <c r="C23" s="92"/>
      <c r="D23" s="23" t="s">
        <v>31</v>
      </c>
      <c r="E23" s="23" t="s">
        <v>25</v>
      </c>
      <c r="F23" s="23" t="s">
        <v>25</v>
      </c>
      <c r="G23" s="24" t="s">
        <v>79</v>
      </c>
      <c r="H23" s="24" t="s">
        <v>72</v>
      </c>
      <c r="I23" s="24">
        <f>'MERCADO TUSD'!$U$20</f>
        <v>149.93899999999999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6">
        <f ca="1">+'TUSD BE'!$T$23+'TUSD BE'!$AB$23+'TUSD BE'!$AD$23+'TUSD BE'!$AL$23</f>
        <v>466.46319960123111</v>
      </c>
      <c r="AP23" s="26">
        <f ca="1">+'TUSD BE'!$T$23+'TUSD BE'!$AB$23+'TUSD BE'!$AD$23+'TUSD BE'!$AL$23</f>
        <v>466.46319960123111</v>
      </c>
    </row>
    <row r="24" spans="1:42" ht="11.25" customHeight="1" x14ac:dyDescent="0.3">
      <c r="A24" s="92"/>
      <c r="B24" s="92"/>
      <c r="C24" s="92"/>
      <c r="D24" s="23" t="s">
        <v>32</v>
      </c>
      <c r="E24" s="23" t="s">
        <v>25</v>
      </c>
      <c r="F24" s="23" t="s">
        <v>25</v>
      </c>
      <c r="G24" s="24" t="s">
        <v>79</v>
      </c>
      <c r="H24" s="24" t="s">
        <v>72</v>
      </c>
      <c r="I24" s="24">
        <f>'MERCADO TUSD'!$U$21</f>
        <v>50.329000000000001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6">
        <f ca="1">+'TUSD BE'!$T$24+'TUSD BE'!$AB$24+'TUSD BE'!$AD$24+'TUSD BE'!$AL$24</f>
        <v>466.46319960123111</v>
      </c>
      <c r="AP24" s="26">
        <f ca="1">+'TUSD BE'!$T$24+'TUSD BE'!$AB$24+'TUSD BE'!$AD$24+'TUSD BE'!$AL$24</f>
        <v>466.46319960123111</v>
      </c>
    </row>
    <row r="25" spans="1:42" ht="11.25" customHeight="1" x14ac:dyDescent="0.3">
      <c r="A25" s="92"/>
      <c r="B25" s="92" t="s">
        <v>88</v>
      </c>
      <c r="C25" s="92" t="s">
        <v>24</v>
      </c>
      <c r="D25" s="23" t="s">
        <v>24</v>
      </c>
      <c r="E25" s="23" t="s">
        <v>25</v>
      </c>
      <c r="F25" s="23" t="s">
        <v>25</v>
      </c>
      <c r="G25" s="24" t="s">
        <v>79</v>
      </c>
      <c r="H25" s="24" t="s">
        <v>72</v>
      </c>
      <c r="I25" s="24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6">
        <f ca="1">+'TUSD BE'!$T$25+'TUSD BE'!$AB$25+'TUSD BE'!$AD$25+'TUSD BE'!$AL$25</f>
        <v>571.47756794167401</v>
      </c>
      <c r="AP25" s="26">
        <f ca="1">+'TUSD BE'!$T$25+'TUSD BE'!$AB$25+'TUSD BE'!$AD$25+'TUSD BE'!$AL$25</f>
        <v>571.47756794167401</v>
      </c>
    </row>
    <row r="26" spans="1:42" ht="11.25" customHeight="1" x14ac:dyDescent="0.3">
      <c r="A26" s="92"/>
      <c r="B26" s="92"/>
      <c r="C26" s="92"/>
      <c r="D26" s="23" t="s">
        <v>29</v>
      </c>
      <c r="E26" s="23" t="s">
        <v>25</v>
      </c>
      <c r="F26" s="23" t="s">
        <v>25</v>
      </c>
      <c r="G26" s="24" t="s">
        <v>79</v>
      </c>
      <c r="H26" s="24" t="s">
        <v>72</v>
      </c>
      <c r="I26" s="24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6">
        <f ca="1">+'TUSD BE'!$T$26+'TUSD BE'!$AB$26+'TUSD BE'!$AD$26+'TUSD BE'!$AL$26</f>
        <v>466.46319960123111</v>
      </c>
      <c r="AP26" s="26">
        <f ca="1">+'TUSD BE'!$T$26+'TUSD BE'!$AB$26+'TUSD BE'!$AD$26+'TUSD BE'!$AL$26</f>
        <v>466.46319960123111</v>
      </c>
    </row>
    <row r="27" spans="1:42" ht="11.25" customHeight="1" x14ac:dyDescent="0.3">
      <c r="A27" s="92"/>
      <c r="B27" s="92"/>
      <c r="C27" s="92"/>
      <c r="D27" s="23" t="s">
        <v>30</v>
      </c>
      <c r="E27" s="23" t="s">
        <v>25</v>
      </c>
      <c r="F27" s="23" t="s">
        <v>25</v>
      </c>
      <c r="G27" s="24" t="s">
        <v>79</v>
      </c>
      <c r="H27" s="24" t="s">
        <v>72</v>
      </c>
      <c r="I27" s="24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6">
        <f ca="1">+'TUSD BE'!$T$27+'TUSD BE'!$AB$27+'TUSD BE'!$AD$27+'TUSD BE'!$AL$27</f>
        <v>466.46319960123111</v>
      </c>
      <c r="AP27" s="26">
        <f ca="1">+'TUSD BE'!$T$27+'TUSD BE'!$AB$27+'TUSD BE'!$AD$27+'TUSD BE'!$AL$27</f>
        <v>466.46319960123111</v>
      </c>
    </row>
    <row r="28" spans="1:42" ht="11.25" customHeight="1" x14ac:dyDescent="0.3">
      <c r="A28" s="92"/>
      <c r="B28" s="92"/>
      <c r="C28" s="92"/>
      <c r="D28" s="23" t="s">
        <v>31</v>
      </c>
      <c r="E28" s="23" t="s">
        <v>25</v>
      </c>
      <c r="F28" s="23" t="s">
        <v>25</v>
      </c>
      <c r="G28" s="24" t="s">
        <v>79</v>
      </c>
      <c r="H28" s="24" t="s">
        <v>72</v>
      </c>
      <c r="I28" s="24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6">
        <f ca="1">+'TUSD BE'!$T$28+'TUSD BE'!$AB$28+'TUSD BE'!$AD$28+'TUSD BE'!$AL$28</f>
        <v>466.46319960123111</v>
      </c>
      <c r="AP28" s="26">
        <f ca="1">+'TUSD BE'!$T$28+'TUSD BE'!$AB$28+'TUSD BE'!$AD$28+'TUSD BE'!$AL$28</f>
        <v>466.46319960123111</v>
      </c>
    </row>
    <row r="29" spans="1:42" ht="11.25" customHeight="1" x14ac:dyDescent="0.3">
      <c r="A29" s="92"/>
      <c r="B29" s="92"/>
      <c r="C29" s="92"/>
      <c r="D29" s="23" t="s">
        <v>32</v>
      </c>
      <c r="E29" s="23" t="s">
        <v>25</v>
      </c>
      <c r="F29" s="23" t="s">
        <v>25</v>
      </c>
      <c r="G29" s="24" t="s">
        <v>79</v>
      </c>
      <c r="H29" s="24" t="s">
        <v>72</v>
      </c>
      <c r="I29" s="24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6">
        <f ca="1">+'TUSD BE'!$T$29+'TUSD BE'!$AB$29+'TUSD BE'!$AD$29+'TUSD BE'!$AL$29</f>
        <v>466.46319960123111</v>
      </c>
      <c r="AP29" s="26">
        <f ca="1">+'TUSD BE'!$T$29+'TUSD BE'!$AB$29+'TUSD BE'!$AD$29+'TUSD BE'!$AL$29</f>
        <v>466.46319960123111</v>
      </c>
    </row>
    <row r="30" spans="1:42" ht="11.25" customHeight="1" x14ac:dyDescent="0.3">
      <c r="A30" s="92" t="s">
        <v>42</v>
      </c>
      <c r="B30" s="92" t="s">
        <v>40</v>
      </c>
      <c r="C30" s="92" t="s">
        <v>43</v>
      </c>
      <c r="D30" s="92" t="s">
        <v>25</v>
      </c>
      <c r="E30" s="92" t="s">
        <v>25</v>
      </c>
      <c r="F30" s="92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6">
        <f ca="1">+'TUSD BE'!$T$30+'TUSD BE'!$AB$30+'TUSD BE'!$AD$30+'TUSD BE'!$AL$30</f>
        <v>1474.4168355014106</v>
      </c>
      <c r="AP30" s="26">
        <f ca="1">+'TUSD BE'!$T$30+'TUSD BE'!$AB$30+'TUSD BE'!$AD$30+'TUSD BE'!$AL$30</f>
        <v>1474.4168355014106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24" t="s">
        <v>85</v>
      </c>
      <c r="H31" s="24" t="s">
        <v>72</v>
      </c>
      <c r="I31" s="24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6">
        <f ca="1">+'TUSD BE'!$T$31+'TUSD BE'!$AB$31+'TUSD BE'!$AD$31+'TUSD BE'!$AL$31</f>
        <v>928.00256507168535</v>
      </c>
      <c r="AP31" s="26">
        <f ca="1">+'TUSD BE'!$T$31+'TUSD BE'!$AB$31+'TUSD BE'!$AD$31+'TUSD BE'!$AL$31</f>
        <v>928.00256507168535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24" t="s">
        <v>74</v>
      </c>
      <c r="H32" s="24" t="s">
        <v>72</v>
      </c>
      <c r="I32" s="24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6">
        <f ca="1">+'TUSD BE'!$T$32+'TUSD BE'!$AB$32+'TUSD BE'!$AD$32+'TUSD BE'!$AL$32</f>
        <v>381.58856906135202</v>
      </c>
      <c r="AP32" s="26">
        <f ca="1">+'TUSD BE'!$T$32+'TUSD BE'!$AB$32+'TUSD BE'!$AD$32+'TUSD BE'!$AL$32</f>
        <v>381.58856906135202</v>
      </c>
    </row>
    <row r="33" spans="1:42" ht="11.25" customHeight="1" x14ac:dyDescent="0.3">
      <c r="A33" s="92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79</v>
      </c>
      <c r="H33" s="24" t="s">
        <v>72</v>
      </c>
      <c r="I33" s="24">
        <f>'MERCADO TUSD'!$U$30</f>
        <v>5511.7490000000016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6">
        <f ca="1">+'TUSD BE'!$T$33+'TUSD BE'!$AB$33+'TUSD BE'!$AD$33+'TUSD BE'!$AL$33</f>
        <v>571.47756794167401</v>
      </c>
      <c r="AP33" s="26">
        <f ca="1">+'TUSD BE'!$T$33+'TUSD BE'!$AB$33+'TUSD BE'!$AD$33+'TUSD BE'!$AL$33</f>
        <v>571.47756794167401</v>
      </c>
    </row>
    <row r="34" spans="1:42" ht="11.25" customHeight="1" x14ac:dyDescent="0.3">
      <c r="A34" s="92"/>
      <c r="B34" s="92" t="s">
        <v>40</v>
      </c>
      <c r="C34" s="92" t="s">
        <v>43</v>
      </c>
      <c r="D34" s="92" t="s">
        <v>89</v>
      </c>
      <c r="E34" s="92" t="s">
        <v>25</v>
      </c>
      <c r="F34" s="92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6">
        <f ca="1">+'TUSD BE'!$T$34+'TUSD BE'!$AB$34+'TUSD BE'!$AD$34+'TUSD BE'!$AL$34</f>
        <v>1474.4168355014106</v>
      </c>
      <c r="AP34" s="26">
        <f ca="1">+'TUSD BE'!$T$34+'TUSD BE'!$AB$34+'TUSD BE'!$AD$34+'TUSD BE'!$AL$34</f>
        <v>1474.4168355014106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24" t="s">
        <v>85</v>
      </c>
      <c r="H35" s="24" t="s">
        <v>72</v>
      </c>
      <c r="I35" s="24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6">
        <f ca="1">+'TUSD BE'!$T$35+'TUSD BE'!$AB$35+'TUSD BE'!$AD$35+'TUSD BE'!$AL$35</f>
        <v>928.00256507168535</v>
      </c>
      <c r="AP35" s="26">
        <f ca="1">+'TUSD BE'!$T$35+'TUSD BE'!$AB$35+'TUSD BE'!$AD$35+'TUSD BE'!$AL$35</f>
        <v>928.00256507168535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24" t="s">
        <v>74</v>
      </c>
      <c r="H36" s="24" t="s">
        <v>72</v>
      </c>
      <c r="I36" s="24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6">
        <f ca="1">+'TUSD BE'!$T$36+'TUSD BE'!$AB$36+'TUSD BE'!$AD$36+'TUSD BE'!$AL$36</f>
        <v>381.58856906135202</v>
      </c>
      <c r="AP36" s="26">
        <f ca="1">+'TUSD BE'!$T$36+'TUSD BE'!$AB$36+'TUSD BE'!$AD$36+'TUSD BE'!$AL$36</f>
        <v>381.58856906135202</v>
      </c>
    </row>
    <row r="37" spans="1:42" ht="11.25" customHeight="1" x14ac:dyDescent="0.3">
      <c r="A37" s="92"/>
      <c r="B37" s="23" t="s">
        <v>23</v>
      </c>
      <c r="C37" s="23" t="s">
        <v>43</v>
      </c>
      <c r="D37" s="23" t="s">
        <v>89</v>
      </c>
      <c r="E37" s="23" t="s">
        <v>25</v>
      </c>
      <c r="F37" s="23" t="s">
        <v>25</v>
      </c>
      <c r="G37" s="24" t="s">
        <v>79</v>
      </c>
      <c r="H37" s="24" t="s">
        <v>72</v>
      </c>
      <c r="I37" s="24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6">
        <f ca="1">+'TUSD BE'!$T$37+'TUSD BE'!$AB$37+'TUSD BE'!$AD$37+'TUSD BE'!$AL$37</f>
        <v>571.47756794167401</v>
      </c>
      <c r="AP37" s="26">
        <f ca="1">+'TUSD BE'!$T$37+'TUSD BE'!$AB$37+'TUSD BE'!$AD$37+'TUSD BE'!$AL$37</f>
        <v>571.47756794167401</v>
      </c>
    </row>
    <row r="38" spans="1:42" ht="11.25" customHeight="1" x14ac:dyDescent="0.3">
      <c r="A38" s="92"/>
      <c r="B38" s="92" t="s">
        <v>40</v>
      </c>
      <c r="C38" s="92" t="s">
        <v>43</v>
      </c>
      <c r="D38" s="92" t="s">
        <v>90</v>
      </c>
      <c r="E38" s="92" t="s">
        <v>25</v>
      </c>
      <c r="F38" s="92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6">
        <f ca="1">+'TUSD BE'!$T$38+'TUSD BE'!$AB$38+'TUSD BE'!$AD$38+'TUSD BE'!$AL$38</f>
        <v>1474.4168355014106</v>
      </c>
      <c r="AP38" s="26">
        <f ca="1">+'TUSD BE'!$T$38+'TUSD BE'!$AB$38+'TUSD BE'!$AD$38+'TUSD BE'!$AL$38</f>
        <v>1474.4168355014106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24" t="s">
        <v>85</v>
      </c>
      <c r="H39" s="24" t="s">
        <v>72</v>
      </c>
      <c r="I39" s="24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6">
        <f ca="1">+'TUSD BE'!$T$39+'TUSD BE'!$AB$39+'TUSD BE'!$AD$39+'TUSD BE'!$AL$39</f>
        <v>928.00256507168535</v>
      </c>
      <c r="AP39" s="26">
        <f ca="1">+'TUSD BE'!$T$39+'TUSD BE'!$AB$39+'TUSD BE'!$AD$39+'TUSD BE'!$AL$39</f>
        <v>928.00256507168535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24" t="s">
        <v>74</v>
      </c>
      <c r="H40" s="24" t="s">
        <v>72</v>
      </c>
      <c r="I40" s="24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6">
        <f ca="1">+'TUSD BE'!$T$40+'TUSD BE'!$AB$40+'TUSD BE'!$AD$40+'TUSD BE'!$AL$40</f>
        <v>381.58856906135202</v>
      </c>
      <c r="AP40" s="26">
        <f ca="1">+'TUSD BE'!$T$40+'TUSD BE'!$AB$40+'TUSD BE'!$AD$40+'TUSD BE'!$AL$40</f>
        <v>381.58856906135202</v>
      </c>
    </row>
    <row r="41" spans="1:42" ht="11.25" customHeight="1" x14ac:dyDescent="0.3">
      <c r="A41" s="92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79</v>
      </c>
      <c r="H41" s="24" t="s">
        <v>72</v>
      </c>
      <c r="I41" s="24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6">
        <f ca="1">+'TUSD BE'!$T$41+'TUSD BE'!$AB$41+'TUSD BE'!$AD$41+'TUSD BE'!$AL$41</f>
        <v>571.47756794167401</v>
      </c>
      <c r="AP41" s="26">
        <f ca="1">+'TUSD BE'!$T$41+'TUSD BE'!$AB$41+'TUSD BE'!$AD$41+'TUSD BE'!$AL$41</f>
        <v>571.47756794167401</v>
      </c>
    </row>
    <row r="42" spans="1:42" ht="11.25" customHeight="1" x14ac:dyDescent="0.3">
      <c r="A42" s="92"/>
      <c r="B42" s="92" t="s">
        <v>88</v>
      </c>
      <c r="C42" s="92" t="s">
        <v>43</v>
      </c>
      <c r="D42" s="23" t="s">
        <v>25</v>
      </c>
      <c r="E42" s="23" t="s">
        <v>25</v>
      </c>
      <c r="F42" s="23" t="s">
        <v>25</v>
      </c>
      <c r="G42" s="24" t="s">
        <v>79</v>
      </c>
      <c r="H42" s="24" t="s">
        <v>72</v>
      </c>
      <c r="I42" s="24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6">
        <f ca="1">+'TUSD BE'!$T$42+'TUSD BE'!$AB$42+'TUSD BE'!$AD$42+'TUSD BE'!$AL$42</f>
        <v>571.47756794167401</v>
      </c>
      <c r="AP42" s="26">
        <f ca="1">+'TUSD BE'!$T$42+'TUSD BE'!$AB$42+'TUSD BE'!$AD$42+'TUSD BE'!$AL$42</f>
        <v>571.47756794167401</v>
      </c>
    </row>
    <row r="43" spans="1:42" ht="11.25" customHeight="1" x14ac:dyDescent="0.3">
      <c r="A43" s="92"/>
      <c r="B43" s="92"/>
      <c r="C43" s="92"/>
      <c r="D43" s="23" t="s">
        <v>89</v>
      </c>
      <c r="E43" s="23" t="s">
        <v>25</v>
      </c>
      <c r="F43" s="23" t="s">
        <v>25</v>
      </c>
      <c r="G43" s="24" t="s">
        <v>79</v>
      </c>
      <c r="H43" s="24" t="s">
        <v>72</v>
      </c>
      <c r="I43" s="24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6">
        <f ca="1">+'TUSD BE'!$T$43+'TUSD BE'!$AB$43+'TUSD BE'!$AD$43+'TUSD BE'!$AL$43</f>
        <v>571.47756794167401</v>
      </c>
      <c r="AP43" s="26">
        <f ca="1">+'TUSD BE'!$T$43+'TUSD BE'!$AB$43+'TUSD BE'!$AD$43+'TUSD BE'!$AL$43</f>
        <v>571.47756794167401</v>
      </c>
    </row>
    <row r="44" spans="1:42" ht="11.25" customHeight="1" x14ac:dyDescent="0.3">
      <c r="A44" s="92"/>
      <c r="B44" s="92"/>
      <c r="C44" s="92"/>
      <c r="D44" s="23" t="s">
        <v>90</v>
      </c>
      <c r="E44" s="23" t="s">
        <v>25</v>
      </c>
      <c r="F44" s="23" t="s">
        <v>25</v>
      </c>
      <c r="G44" s="24" t="s">
        <v>79</v>
      </c>
      <c r="H44" s="24" t="s">
        <v>72</v>
      </c>
      <c r="I44" s="24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6">
        <f ca="1">+'TUSD BE'!$T$44+'TUSD BE'!$AB$44+'TUSD BE'!$AD$44+'TUSD BE'!$AL$44</f>
        <v>571.47756794167401</v>
      </c>
      <c r="AP44" s="26">
        <f ca="1">+'TUSD BE'!$T$44+'TUSD BE'!$AB$44+'TUSD BE'!$AD$44+'TUSD BE'!$AL$44</f>
        <v>571.47756794167401</v>
      </c>
    </row>
    <row r="45" spans="1:42" ht="11.25" customHeight="1" x14ac:dyDescent="0.3">
      <c r="A45" s="92" t="s">
        <v>33</v>
      </c>
      <c r="B45" s="92" t="s">
        <v>40</v>
      </c>
      <c r="C45" s="92" t="s">
        <v>25</v>
      </c>
      <c r="D45" s="92" t="s">
        <v>25</v>
      </c>
      <c r="E45" s="92" t="s">
        <v>25</v>
      </c>
      <c r="F45" s="92" t="s">
        <v>25</v>
      </c>
      <c r="G45" s="24" t="s">
        <v>73</v>
      </c>
      <c r="H45" s="24" t="s">
        <v>72</v>
      </c>
      <c r="I45" s="24">
        <f>'MERCADO TUSD'!$U$42</f>
        <v>0.86799999999999977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6">
        <f ca="1">+'TUSD BE'!$T$45+'TUSD BE'!$AB$45+'TUSD BE'!$AD$45+'TUSD BE'!$AL$45</f>
        <v>1706.0217451805559</v>
      </c>
      <c r="AP45" s="26">
        <f ca="1">+'TUSD BE'!$T$45+'TUSD BE'!$AB$45+'TUSD BE'!$AD$45+'TUSD BE'!$AL$45</f>
        <v>1706.0217451805559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24" t="s">
        <v>85</v>
      </c>
      <c r="H46" s="24" t="s">
        <v>72</v>
      </c>
      <c r="I46" s="24">
        <f>'MERCADO TUSD'!$U$43</f>
        <v>0.57500000000000007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6">
        <f ca="1">+'TUSD BE'!$T$46+'TUSD BE'!$AB$46+'TUSD BE'!$AD$46+'TUSD BE'!$AL$46</f>
        <v>1066.9427066529443</v>
      </c>
      <c r="AP46" s="26">
        <f ca="1">+'TUSD BE'!$T$46+'TUSD BE'!$AB$46+'TUSD BE'!$AD$46+'TUSD BE'!$AL$46</f>
        <v>1066.9427066529443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24" t="s">
        <v>74</v>
      </c>
      <c r="H47" s="24" t="s">
        <v>72</v>
      </c>
      <c r="I47" s="24">
        <f>'MERCADO TUSD'!$U$44</f>
        <v>9.5989999999999984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6">
        <f ca="1">+'TUSD BE'!$T$47+'TUSD BE'!$AB$47+'TUSD BE'!$AD$47+'TUSD BE'!$AL$47</f>
        <v>427.92143334423099</v>
      </c>
      <c r="AP47" s="26">
        <f ca="1">+'TUSD BE'!$T$47+'TUSD BE'!$AB$47+'TUSD BE'!$AD$47+'TUSD BE'!$AL$47</f>
        <v>427.92143334423099</v>
      </c>
    </row>
    <row r="48" spans="1:42" ht="11.25" customHeight="1" x14ac:dyDescent="0.3">
      <c r="A48" s="9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79</v>
      </c>
      <c r="H48" s="24" t="s">
        <v>72</v>
      </c>
      <c r="I48" s="24">
        <f>'MERCADO TUSD'!$U$45</f>
        <v>3233.996000000001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6">
        <f ca="1">+'TUSD BE'!$T$48+'TUSD BE'!$AB$48+'TUSD BE'!$AD$48+'TUSD BE'!$AL$48</f>
        <v>571.47756794167401</v>
      </c>
      <c r="AP48" s="26">
        <f ca="1">+'TUSD BE'!$T$48+'TUSD BE'!$AB$48+'TUSD BE'!$AD$48+'TUSD BE'!$AL$48</f>
        <v>571.47756794167401</v>
      </c>
    </row>
    <row r="49" spans="1:42" ht="11.25" customHeight="1" x14ac:dyDescent="0.3">
      <c r="A49" s="92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79</v>
      </c>
      <c r="H49" s="24" t="s">
        <v>72</v>
      </c>
      <c r="I49" s="24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6">
        <f ca="1">+'TUSD BE'!$T$49+'TUSD BE'!$AB$49+'TUSD BE'!$AD$49+'TUSD BE'!$AL$49</f>
        <v>571.47756794167401</v>
      </c>
      <c r="AP49" s="26">
        <f ca="1">+'TUSD BE'!$T$49+'TUSD BE'!$AB$49+'TUSD BE'!$AD$49+'TUSD BE'!$AL$49</f>
        <v>571.47756794167401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23" t="s">
        <v>47</v>
      </c>
      <c r="E50" s="23" t="s">
        <v>25</v>
      </c>
      <c r="F50" s="23" t="s">
        <v>25</v>
      </c>
      <c r="G50" s="24" t="s">
        <v>79</v>
      </c>
      <c r="H50" s="24" t="s">
        <v>72</v>
      </c>
      <c r="I50" s="24">
        <f>'MERCADO TUSD'!$U$47</f>
        <v>1210.0279999999998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6">
        <f ca="1">+'TUSD BE'!$T$50+'TUSD BE'!$AB$50+'TUSD BE'!$AD$50+'TUSD BE'!$AL$50</f>
        <v>314.31266236792072</v>
      </c>
      <c r="AP50" s="26">
        <f ca="1">+'TUSD BE'!$T$50+'TUSD BE'!$AB$50+'TUSD BE'!$AD$50+'TUSD BE'!$AL$50</f>
        <v>314.31266236792072</v>
      </c>
    </row>
    <row r="51" spans="1:42" ht="11.25" customHeight="1" x14ac:dyDescent="0.3">
      <c r="A51" s="92"/>
      <c r="B51" s="92"/>
      <c r="C51" s="92"/>
      <c r="D51" s="24" t="s">
        <v>91</v>
      </c>
      <c r="E51" s="24" t="s">
        <v>25</v>
      </c>
      <c r="F51" s="24" t="s">
        <v>25</v>
      </c>
      <c r="G51" s="24" t="s">
        <v>79</v>
      </c>
      <c r="H51" s="24" t="s">
        <v>72</v>
      </c>
      <c r="I51" s="24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6">
        <f ca="1">+'TUSD BE'!$T$51+'TUSD BE'!$AB$51+'TUSD BE'!$AD$51+'TUSD BE'!$AL$51</f>
        <v>342.88654076500444</v>
      </c>
      <c r="AP51" s="26">
        <f ca="1">+'TUSD BE'!$T$51+'TUSD BE'!$AB$51+'TUSD BE'!$AD$51+'TUSD BE'!$AL$51</f>
        <v>342.88654076500444</v>
      </c>
    </row>
    <row r="53" spans="1:42" ht="11.25" customHeight="1" x14ac:dyDescent="0.3">
      <c r="K53" s="16" t="s">
        <v>533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24">
        <f ca="1">SUMPRODUCT($I$5:$I51,$AO$5:$AO51)</f>
        <v>18457190.001831315</v>
      </c>
      <c r="AP53" s="24">
        <f ca="1">SUMPRODUCT($I$5:$I51,$AP$5:$AP51)</f>
        <v>18457190.001831315</v>
      </c>
    </row>
    <row r="54" spans="1:42" ht="11.25" customHeight="1" x14ac:dyDescent="0.3">
      <c r="K54" s="16" t="s">
        <v>465</v>
      </c>
      <c r="L54" s="13">
        <f>'TR TUSD'!$L$56</f>
        <v>0</v>
      </c>
      <c r="M54" s="13">
        <f>'TR TUSD'!$M$56</f>
        <v>46023.713893769425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3294285.67936</v>
      </c>
      <c r="R54" s="13">
        <f>'TR TUSD'!$R$56</f>
        <v>577427.02811999992</v>
      </c>
      <c r="S54" s="13">
        <f>'TR TUSD'!$S$56</f>
        <v>0</v>
      </c>
      <c r="T54" s="13">
        <f>'TR TUSD'!$T$56</f>
        <v>3917736.4213737692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4210458.682</v>
      </c>
      <c r="Z54" s="13">
        <f>'TR TUSD'!$Z$56</f>
        <v>0</v>
      </c>
      <c r="AA54" s="13">
        <f>'TR TUSD'!$AA$56</f>
        <v>0</v>
      </c>
      <c r="AB54" s="13">
        <f>'TR TUSD'!$AB$56</f>
        <v>4210458.682</v>
      </c>
      <c r="AC54" s="13">
        <f>'TR TUSD'!$AC$56</f>
        <v>10281408.04154011</v>
      </c>
      <c r="AD54" s="13">
        <f>'TR TUSD'!$AD$56</f>
        <v>10281408.04154011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45738.461918426372</v>
      </c>
      <c r="AI54" s="13">
        <f>'TR TUSD'!$AI$56</f>
        <v>1848.3949990074575</v>
      </c>
      <c r="AJ54" s="13">
        <f>'TR TUSD'!$AJ$56</f>
        <v>0</v>
      </c>
      <c r="AK54" s="13">
        <f>'TR TUSD'!$AK$56</f>
        <v>0</v>
      </c>
      <c r="AL54" s="13">
        <f>'TR TUSD'!$AL$56</f>
        <v>47586.856917433826</v>
      </c>
      <c r="AM54" s="13">
        <f>CUSTOS!$D$29</f>
        <v>18457190.001831315</v>
      </c>
      <c r="AO54" s="24">
        <f>$AE$56</f>
        <v>0</v>
      </c>
      <c r="AP54" s="24">
        <f>$AF$56</f>
        <v>0</v>
      </c>
    </row>
    <row r="55" spans="1:42" ht="11.25" customHeight="1" x14ac:dyDescent="0.3">
      <c r="K55" s="16" t="s">
        <v>466</v>
      </c>
      <c r="L55" s="13">
        <f>CUSTOS!$E$2</f>
        <v>0</v>
      </c>
      <c r="M55" s="13">
        <f>CUSTOS!$E$3</f>
        <v>-853.90027895057767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-120209.74283909067</v>
      </c>
      <c r="R55" s="13">
        <f>CUSTOS!$E$8</f>
        <v>-24479.030390304055</v>
      </c>
      <c r="S55" s="13">
        <f>CUSTOS!$E$9</f>
        <v>0</v>
      </c>
      <c r="T55" s="13">
        <f>CUSTOS!$E$10</f>
        <v>-145542.67350834529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101885.57692599652</v>
      </c>
      <c r="Z55" s="13">
        <f>CUSTOS!$E$16</f>
        <v>0</v>
      </c>
      <c r="AA55" s="13">
        <f>CUSTOS!$E$17</f>
        <v>0</v>
      </c>
      <c r="AB55" s="13">
        <f>CUSTOS!$E$18</f>
        <v>101885.57692599652</v>
      </c>
      <c r="AC55" s="13">
        <f>CUSTOS!$E$19</f>
        <v>-3626354.5267763063</v>
      </c>
      <c r="AD55" s="13">
        <f>CUSTOS!$E$20</f>
        <v>-3626354.5267763063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654.8741056701972</v>
      </c>
      <c r="AI55" s="13">
        <f>CUSTOS!$E$25</f>
        <v>26.464948123072343</v>
      </c>
      <c r="AJ55" s="13">
        <f>CUSTOS!$E$26</f>
        <v>0</v>
      </c>
      <c r="AK55" s="13">
        <f>CUSTOS!$E$27</f>
        <v>0</v>
      </c>
      <c r="AL55" s="13">
        <f>CUSTOS!$E$28</f>
        <v>681.3390537932695</v>
      </c>
      <c r="AM55" s="13">
        <f>CUSTOS!$E$29</f>
        <v>-3669330.2843048619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3">
      <c r="K56" s="16" t="s">
        <v>467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530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36" priority="55" operator="notEqual">
      <formula>$L$56</formula>
    </cfRule>
    <cfRule type="cellIs" dxfId="735" priority="56" operator="equal">
      <formula>$L$56</formula>
    </cfRule>
  </conditionalFormatting>
  <conditionalFormatting sqref="M53">
    <cfRule type="cellIs" dxfId="734" priority="53" operator="notEqual">
      <formula>$M$56</formula>
    </cfRule>
    <cfRule type="cellIs" dxfId="733" priority="54" operator="equal">
      <formula>$M$56</formula>
    </cfRule>
  </conditionalFormatting>
  <conditionalFormatting sqref="N53">
    <cfRule type="cellIs" dxfId="732" priority="51" operator="notEqual">
      <formula>$N$56</formula>
    </cfRule>
    <cfRule type="cellIs" dxfId="731" priority="52" operator="equal">
      <formula>$N$56</formula>
    </cfRule>
  </conditionalFormatting>
  <conditionalFormatting sqref="O53">
    <cfRule type="cellIs" dxfId="730" priority="49" operator="notEqual">
      <formula>$O$56</formula>
    </cfRule>
    <cfRule type="cellIs" dxfId="729" priority="50" operator="equal">
      <formula>$O$56</formula>
    </cfRule>
  </conditionalFormatting>
  <conditionalFormatting sqref="P53">
    <cfRule type="cellIs" dxfId="728" priority="47" operator="notEqual">
      <formula>$P$56</formula>
    </cfRule>
    <cfRule type="cellIs" dxfId="727" priority="48" operator="equal">
      <formula>$P$56</formula>
    </cfRule>
  </conditionalFormatting>
  <conditionalFormatting sqref="Q53">
    <cfRule type="cellIs" dxfId="726" priority="45" operator="notEqual">
      <formula>$Q$56</formula>
    </cfRule>
    <cfRule type="cellIs" dxfId="725" priority="46" operator="equal">
      <formula>$Q$56</formula>
    </cfRule>
  </conditionalFormatting>
  <conditionalFormatting sqref="R53">
    <cfRule type="cellIs" dxfId="724" priority="43" operator="notEqual">
      <formula>$R$56</formula>
    </cfRule>
    <cfRule type="cellIs" dxfId="723" priority="44" operator="equal">
      <formula>$R$56</formula>
    </cfRule>
  </conditionalFormatting>
  <conditionalFormatting sqref="S53">
    <cfRule type="cellIs" dxfId="722" priority="41" operator="notEqual">
      <formula>$S$56</formula>
    </cfRule>
    <cfRule type="cellIs" dxfId="721" priority="42" operator="equal">
      <formula>$S$56</formula>
    </cfRule>
  </conditionalFormatting>
  <conditionalFormatting sqref="T53">
    <cfRule type="cellIs" dxfId="720" priority="39" operator="notEqual">
      <formula>$T$56</formula>
    </cfRule>
    <cfRule type="cellIs" dxfId="719" priority="40" operator="equal">
      <formula>$T$56</formula>
    </cfRule>
  </conditionalFormatting>
  <conditionalFormatting sqref="U53">
    <cfRule type="cellIs" dxfId="718" priority="37" operator="notEqual">
      <formula>$U$56</formula>
    </cfRule>
    <cfRule type="cellIs" dxfId="717" priority="38" operator="equal">
      <formula>$U$56</formula>
    </cfRule>
  </conditionalFormatting>
  <conditionalFormatting sqref="V53">
    <cfRule type="cellIs" dxfId="716" priority="35" operator="notEqual">
      <formula>$V$56</formula>
    </cfRule>
    <cfRule type="cellIs" dxfId="715" priority="36" operator="equal">
      <formula>$V$56</formula>
    </cfRule>
  </conditionalFormatting>
  <conditionalFormatting sqref="W53">
    <cfRule type="cellIs" dxfId="714" priority="33" operator="notEqual">
      <formula>$W$56</formula>
    </cfRule>
    <cfRule type="cellIs" dxfId="713" priority="34" operator="equal">
      <formula>$W$56</formula>
    </cfRule>
  </conditionalFormatting>
  <conditionalFormatting sqref="X53">
    <cfRule type="cellIs" dxfId="712" priority="31" operator="notEqual">
      <formula>$X$56</formula>
    </cfRule>
    <cfRule type="cellIs" dxfId="711" priority="32" operator="equal">
      <formula>$X$56</formula>
    </cfRule>
  </conditionalFormatting>
  <conditionalFormatting sqref="Y53">
    <cfRule type="cellIs" dxfId="710" priority="29" operator="notEqual">
      <formula>$Y$56</formula>
    </cfRule>
    <cfRule type="cellIs" dxfId="709" priority="30" operator="equal">
      <formula>$Y$56</formula>
    </cfRule>
  </conditionalFormatting>
  <conditionalFormatting sqref="Z53">
    <cfRule type="cellIs" dxfId="708" priority="27" operator="notEqual">
      <formula>$Z$56</formula>
    </cfRule>
    <cfRule type="cellIs" dxfId="707" priority="28" operator="equal">
      <formula>$Z$56</formula>
    </cfRule>
  </conditionalFormatting>
  <conditionalFormatting sqref="AA53">
    <cfRule type="cellIs" dxfId="706" priority="25" operator="notEqual">
      <formula>$AA$56</formula>
    </cfRule>
    <cfRule type="cellIs" dxfId="705" priority="26" operator="equal">
      <formula>$AA$56</formula>
    </cfRule>
  </conditionalFormatting>
  <conditionalFormatting sqref="AB53">
    <cfRule type="cellIs" dxfId="704" priority="23" operator="notEqual">
      <formula>$AB$56</formula>
    </cfRule>
    <cfRule type="cellIs" dxfId="703" priority="24" operator="equal">
      <formula>$AB$56</formula>
    </cfRule>
  </conditionalFormatting>
  <conditionalFormatting sqref="AC53">
    <cfRule type="cellIs" dxfId="702" priority="21" operator="notEqual">
      <formula>$AC$56</formula>
    </cfRule>
    <cfRule type="cellIs" dxfId="701" priority="22" operator="equal">
      <formula>$AC$56</formula>
    </cfRule>
  </conditionalFormatting>
  <conditionalFormatting sqref="AD53">
    <cfRule type="cellIs" dxfId="700" priority="19" operator="notEqual">
      <formula>$AD$56</formula>
    </cfRule>
    <cfRule type="cellIs" dxfId="699" priority="20" operator="equal">
      <formula>$AD$56</formula>
    </cfRule>
  </conditionalFormatting>
  <conditionalFormatting sqref="AE53">
    <cfRule type="cellIs" dxfId="698" priority="17" operator="notEqual">
      <formula>$AE$56</formula>
    </cfRule>
    <cfRule type="cellIs" dxfId="697" priority="18" operator="equal">
      <formula>$AE$56</formula>
    </cfRule>
  </conditionalFormatting>
  <conditionalFormatting sqref="AF53">
    <cfRule type="cellIs" dxfId="696" priority="16" operator="equal">
      <formula>$AF$56</formula>
    </cfRule>
  </conditionalFormatting>
  <conditionalFormatting sqref="AF53">
    <cfRule type="cellIs" dxfId="695" priority="15" operator="notEqual">
      <formula>$AF$56</formula>
    </cfRule>
  </conditionalFormatting>
  <conditionalFormatting sqref="AG53">
    <cfRule type="cellIs" dxfId="694" priority="14" operator="equal">
      <formula>$AG$56</formula>
    </cfRule>
  </conditionalFormatting>
  <conditionalFormatting sqref="AG53">
    <cfRule type="cellIs" dxfId="693" priority="13" operator="notEqual">
      <formula>$AG$56</formula>
    </cfRule>
  </conditionalFormatting>
  <conditionalFormatting sqref="AH53">
    <cfRule type="cellIs" dxfId="692" priority="12" operator="equal">
      <formula>$AH$56</formula>
    </cfRule>
  </conditionalFormatting>
  <conditionalFormatting sqref="AH53">
    <cfRule type="cellIs" dxfId="691" priority="11" operator="notEqual">
      <formula>$AH$56</formula>
    </cfRule>
  </conditionalFormatting>
  <conditionalFormatting sqref="AI53">
    <cfRule type="cellIs" dxfId="690" priority="10" operator="equal">
      <formula>$AI$56</formula>
    </cfRule>
  </conditionalFormatting>
  <conditionalFormatting sqref="AI53">
    <cfRule type="cellIs" dxfId="689" priority="9" operator="notEqual">
      <formula>$AI$56</formula>
    </cfRule>
  </conditionalFormatting>
  <conditionalFormatting sqref="AJ53">
    <cfRule type="cellIs" dxfId="688" priority="8" operator="equal">
      <formula>$AJ$56</formula>
    </cfRule>
  </conditionalFormatting>
  <conditionalFormatting sqref="AJ53">
    <cfRule type="cellIs" dxfId="687" priority="7" operator="notEqual">
      <formula>$AJ$56</formula>
    </cfRule>
  </conditionalFormatting>
  <conditionalFormatting sqref="AK53">
    <cfRule type="cellIs" dxfId="686" priority="6" operator="equal">
      <formula>$AK$56</formula>
    </cfRule>
  </conditionalFormatting>
  <conditionalFormatting sqref="AK53">
    <cfRule type="cellIs" dxfId="685" priority="5" operator="notEqual">
      <formula>$AK$56</formula>
    </cfRule>
  </conditionalFormatting>
  <conditionalFormatting sqref="AL53">
    <cfRule type="cellIs" dxfId="684" priority="4" operator="equal">
      <formula>$AL$56</formula>
    </cfRule>
  </conditionalFormatting>
  <conditionalFormatting sqref="AL53">
    <cfRule type="cellIs" dxfId="683" priority="3" operator="notEqual">
      <formula>$AL$56</formula>
    </cfRule>
  </conditionalFormatting>
  <conditionalFormatting sqref="AM53">
    <cfRule type="cellIs" dxfId="682" priority="2" operator="equal">
      <formula>$AM$56</formula>
    </cfRule>
  </conditionalFormatting>
  <conditionalFormatting sqref="AM53">
    <cfRule type="cellIs" dxfId="681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BE36-1402-42F3-8B58-25C555F28589}">
  <dimension ref="A1:AB49"/>
  <sheetViews>
    <sheetView showGridLines="0" workbookViewId="0">
      <selection activeCell="K43" sqref="K43:AB49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20" style="9" bestFit="1" customWidth="1"/>
    <col min="12" max="12" width="7.88671875" style="9" bestFit="1" customWidth="1"/>
    <col min="13" max="13" width="10" style="9" bestFit="1" customWidth="1"/>
    <col min="14" max="14" width="7.88671875" style="9" bestFit="1" customWidth="1"/>
    <col min="15" max="15" width="11.109375" style="9" bestFit="1" customWidth="1"/>
    <col min="16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102" t="s">
        <v>62</v>
      </c>
      <c r="B1" s="102" t="s">
        <v>63</v>
      </c>
      <c r="C1" s="102" t="s">
        <v>64</v>
      </c>
      <c r="D1" s="102" t="s">
        <v>65</v>
      </c>
      <c r="E1" s="102" t="s">
        <v>66</v>
      </c>
      <c r="F1" s="102" t="s">
        <v>15</v>
      </c>
      <c r="G1" s="102" t="s">
        <v>68</v>
      </c>
      <c r="H1" s="102" t="s">
        <v>69</v>
      </c>
      <c r="I1" s="102" t="s">
        <v>524</v>
      </c>
      <c r="J1" s="85"/>
      <c r="L1" s="100" t="s">
        <v>545</v>
      </c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 spans="1:28" ht="11.25" customHeight="1" x14ac:dyDescent="0.3">
      <c r="A2" s="102"/>
      <c r="B2" s="102"/>
      <c r="C2" s="102"/>
      <c r="D2" s="102"/>
      <c r="E2" s="102"/>
      <c r="F2" s="102"/>
      <c r="G2" s="102"/>
      <c r="H2" s="102"/>
      <c r="I2" s="102"/>
      <c r="J2" s="85"/>
      <c r="L2" s="100" t="s">
        <v>451</v>
      </c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</row>
    <row r="3" spans="1:28" ht="11.25" customHeight="1" x14ac:dyDescent="0.3">
      <c r="A3" s="102"/>
      <c r="B3" s="102"/>
      <c r="C3" s="102"/>
      <c r="D3" s="102"/>
      <c r="E3" s="102"/>
      <c r="F3" s="102"/>
      <c r="G3" s="102"/>
      <c r="H3" s="102"/>
      <c r="I3" s="102"/>
      <c r="J3" s="85"/>
      <c r="L3" s="100" t="s">
        <v>424</v>
      </c>
      <c r="M3" s="100"/>
      <c r="N3" s="100"/>
      <c r="O3" s="100"/>
      <c r="P3" s="100"/>
      <c r="Q3" s="100"/>
      <c r="R3" s="100" t="s">
        <v>455</v>
      </c>
      <c r="S3" s="100"/>
      <c r="T3" s="100" t="s">
        <v>433</v>
      </c>
      <c r="U3" s="100"/>
      <c r="V3" s="100"/>
      <c r="W3" s="100"/>
      <c r="X3" s="100" t="s">
        <v>443</v>
      </c>
      <c r="Y3" s="100"/>
      <c r="Z3" s="100" t="s">
        <v>446</v>
      </c>
      <c r="AA3" s="100"/>
      <c r="AB3" s="100" t="s">
        <v>432</v>
      </c>
    </row>
    <row r="4" spans="1:28" ht="11.25" customHeight="1" x14ac:dyDescent="0.3">
      <c r="A4" s="102"/>
      <c r="B4" s="102"/>
      <c r="C4" s="102"/>
      <c r="D4" s="102"/>
      <c r="E4" s="102"/>
      <c r="F4" s="102"/>
      <c r="G4" s="102"/>
      <c r="H4" s="102"/>
      <c r="I4" s="102"/>
      <c r="J4" s="85"/>
      <c r="L4" s="30" t="s">
        <v>426</v>
      </c>
      <c r="M4" s="30" t="s">
        <v>452</v>
      </c>
      <c r="N4" s="30" t="s">
        <v>453</v>
      </c>
      <c r="O4" s="30" t="s">
        <v>512</v>
      </c>
      <c r="P4" s="30" t="s">
        <v>454</v>
      </c>
      <c r="Q4" s="30" t="s">
        <v>432</v>
      </c>
      <c r="R4" s="30" t="s">
        <v>456</v>
      </c>
      <c r="S4" s="30" t="s">
        <v>432</v>
      </c>
      <c r="T4" s="30" t="s">
        <v>457</v>
      </c>
      <c r="U4" s="30" t="s">
        <v>458</v>
      </c>
      <c r="V4" s="30" t="s">
        <v>459</v>
      </c>
      <c r="W4" s="30" t="s">
        <v>432</v>
      </c>
      <c r="X4" s="30" t="s">
        <v>444</v>
      </c>
      <c r="Y4" s="30" t="s">
        <v>432</v>
      </c>
      <c r="Z4" s="30" t="s">
        <v>460</v>
      </c>
      <c r="AA4" s="30" t="s">
        <v>432</v>
      </c>
      <c r="AB4" s="101"/>
    </row>
    <row r="5" spans="1:28" ht="11.25" customHeight="1" x14ac:dyDescent="0.3">
      <c r="A5" s="103" t="s">
        <v>35</v>
      </c>
      <c r="B5" s="103" t="s">
        <v>71</v>
      </c>
      <c r="C5" s="103" t="s">
        <v>25</v>
      </c>
      <c r="D5" s="103" t="s">
        <v>25</v>
      </c>
      <c r="E5" s="103" t="s">
        <v>25</v>
      </c>
      <c r="F5" s="103" t="s">
        <v>25</v>
      </c>
      <c r="G5" s="29" t="s">
        <v>73</v>
      </c>
      <c r="H5" s="29" t="s">
        <v>72</v>
      </c>
      <c r="I5" s="29">
        <f>'MERCADO TE'!$U$2</f>
        <v>1557.202</v>
      </c>
      <c r="J5" s="15"/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/>
      <c r="R5" s="26">
        <v>1</v>
      </c>
      <c r="S5" s="26"/>
      <c r="T5" s="26">
        <v>1</v>
      </c>
      <c r="U5" s="26">
        <v>1</v>
      </c>
      <c r="V5" s="26">
        <v>1</v>
      </c>
      <c r="W5" s="26"/>
      <c r="X5" s="26"/>
      <c r="Y5" s="26"/>
      <c r="Z5" s="26">
        <v>1</v>
      </c>
      <c r="AA5" s="26"/>
      <c r="AB5" s="26"/>
    </row>
    <row r="6" spans="1:28" ht="11.25" customHeight="1" x14ac:dyDescent="0.3">
      <c r="A6" s="103"/>
      <c r="B6" s="103"/>
      <c r="C6" s="103"/>
      <c r="D6" s="103"/>
      <c r="E6" s="103"/>
      <c r="F6" s="103"/>
      <c r="G6" s="29" t="s">
        <v>74</v>
      </c>
      <c r="H6" s="29" t="s">
        <v>72</v>
      </c>
      <c r="I6" s="29">
        <f>'MERCADO TE'!$U$3</f>
        <v>23427.474000000002</v>
      </c>
      <c r="J6" s="15"/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/>
      <c r="R6" s="26">
        <v>1</v>
      </c>
      <c r="S6" s="26"/>
      <c r="T6" s="26">
        <v>1</v>
      </c>
      <c r="U6" s="26">
        <v>1</v>
      </c>
      <c r="V6" s="26">
        <v>1</v>
      </c>
      <c r="W6" s="26"/>
      <c r="X6" s="26"/>
      <c r="Y6" s="26"/>
      <c r="Z6" s="26">
        <v>1</v>
      </c>
      <c r="AA6" s="26"/>
      <c r="AB6" s="26"/>
    </row>
    <row r="7" spans="1:28" ht="11.25" customHeight="1" x14ac:dyDescent="0.3">
      <c r="A7" s="103" t="s">
        <v>22</v>
      </c>
      <c r="B7" s="103" t="s">
        <v>71</v>
      </c>
      <c r="C7" s="103" t="s">
        <v>24</v>
      </c>
      <c r="D7" s="103" t="s">
        <v>24</v>
      </c>
      <c r="E7" s="103" t="s">
        <v>25</v>
      </c>
      <c r="F7" s="103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>
        <v>1</v>
      </c>
      <c r="U7" s="26">
        <v>1</v>
      </c>
      <c r="V7" s="26">
        <v>1</v>
      </c>
      <c r="W7" s="26"/>
      <c r="X7" s="26"/>
      <c r="Y7" s="26"/>
      <c r="Z7" s="26">
        <v>1</v>
      </c>
      <c r="AA7" s="26"/>
      <c r="AB7" s="26"/>
    </row>
    <row r="8" spans="1:28" ht="11.25" customHeight="1" x14ac:dyDescent="0.3">
      <c r="A8" s="103"/>
      <c r="B8" s="103"/>
      <c r="C8" s="103"/>
      <c r="D8" s="103"/>
      <c r="E8" s="103"/>
      <c r="F8" s="103"/>
      <c r="G8" s="29" t="s">
        <v>85</v>
      </c>
      <c r="H8" s="29" t="s">
        <v>72</v>
      </c>
      <c r="I8" s="29">
        <f>'MERCADO TE'!$U$5</f>
        <v>0</v>
      </c>
      <c r="J8" s="15"/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/>
      <c r="R8" s="26">
        <v>1</v>
      </c>
      <c r="S8" s="26"/>
      <c r="T8" s="26">
        <v>1</v>
      </c>
      <c r="U8" s="26">
        <v>1</v>
      </c>
      <c r="V8" s="26">
        <v>1</v>
      </c>
      <c r="W8" s="26"/>
      <c r="X8" s="26"/>
      <c r="Y8" s="26"/>
      <c r="Z8" s="26">
        <v>1</v>
      </c>
      <c r="AA8" s="26"/>
      <c r="AB8" s="26"/>
    </row>
    <row r="9" spans="1:28" ht="11.25" customHeight="1" x14ac:dyDescent="0.3">
      <c r="A9" s="103"/>
      <c r="B9" s="103"/>
      <c r="C9" s="103"/>
      <c r="D9" s="103"/>
      <c r="E9" s="103"/>
      <c r="F9" s="103"/>
      <c r="G9" s="29" t="s">
        <v>74</v>
      </c>
      <c r="H9" s="29" t="s">
        <v>72</v>
      </c>
      <c r="I9" s="29">
        <f>'MERCADO TE'!$U$6</f>
        <v>0</v>
      </c>
      <c r="J9" s="15"/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/>
      <c r="R9" s="26">
        <v>1</v>
      </c>
      <c r="S9" s="26"/>
      <c r="T9" s="26">
        <v>1</v>
      </c>
      <c r="U9" s="26">
        <v>1</v>
      </c>
      <c r="V9" s="26">
        <v>1</v>
      </c>
      <c r="W9" s="26"/>
      <c r="X9" s="26"/>
      <c r="Y9" s="26"/>
      <c r="Z9" s="26">
        <v>1</v>
      </c>
      <c r="AA9" s="26"/>
      <c r="AB9" s="26"/>
    </row>
    <row r="10" spans="1:28" ht="11.25" customHeight="1" x14ac:dyDescent="0.3">
      <c r="A10" s="103"/>
      <c r="B10" s="103" t="s">
        <v>86</v>
      </c>
      <c r="C10" s="103" t="s">
        <v>24</v>
      </c>
      <c r="D10" s="28" t="s">
        <v>24</v>
      </c>
      <c r="E10" s="28" t="s">
        <v>25</v>
      </c>
      <c r="F10" s="28" t="s">
        <v>25</v>
      </c>
      <c r="G10" s="29" t="s">
        <v>79</v>
      </c>
      <c r="H10" s="29" t="s">
        <v>72</v>
      </c>
      <c r="I10" s="29">
        <f>'MERCADO TE'!$U$7</f>
        <v>5913.8329999999996</v>
      </c>
      <c r="J10" s="15"/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/>
      <c r="R10" s="26">
        <v>1</v>
      </c>
      <c r="S10" s="26"/>
      <c r="T10" s="26">
        <v>1</v>
      </c>
      <c r="U10" s="26">
        <v>1</v>
      </c>
      <c r="V10" s="26">
        <v>1</v>
      </c>
      <c r="W10" s="26"/>
      <c r="X10" s="26"/>
      <c r="Y10" s="26"/>
      <c r="Z10" s="26">
        <v>1</v>
      </c>
      <c r="AA10" s="26"/>
      <c r="AB10" s="26"/>
    </row>
    <row r="11" spans="1:28" ht="11.25" customHeight="1" x14ac:dyDescent="0.3">
      <c r="A11" s="103"/>
      <c r="B11" s="103"/>
      <c r="C11" s="103"/>
      <c r="D11" s="28" t="s">
        <v>29</v>
      </c>
      <c r="E11" s="28" t="s">
        <v>25</v>
      </c>
      <c r="F11" s="28" t="s">
        <v>25</v>
      </c>
      <c r="G11" s="29" t="s">
        <v>79</v>
      </c>
      <c r="H11" s="29" t="s">
        <v>72</v>
      </c>
      <c r="I11" s="29">
        <f>'MERCADO TE'!$U$8</f>
        <v>78.629000000000005</v>
      </c>
      <c r="J11" s="15"/>
      <c r="L11" s="26">
        <f>1 - CUSTOS!$M$24</f>
        <v>1</v>
      </c>
      <c r="M11" s="26">
        <f>1 - CUSTOS!$M$24</f>
        <v>1</v>
      </c>
      <c r="N11" s="26">
        <f>1 - CUSTOS!$M$24</f>
        <v>1</v>
      </c>
      <c r="O11" s="26">
        <f>1 - CUSTOS!$M$24</f>
        <v>1</v>
      </c>
      <c r="P11" s="26">
        <f>1 - CUSTOS!$M$24</f>
        <v>1</v>
      </c>
      <c r="Q11" s="26"/>
      <c r="R11" s="26">
        <f>(1 - CUSTOS!$M$24)*1</f>
        <v>1</v>
      </c>
      <c r="S11" s="26"/>
      <c r="T11" s="26">
        <f>1 - CUSTOS!$M$24</f>
        <v>1</v>
      </c>
      <c r="U11" s="26">
        <f>1 - CUSTOS!$M$24</f>
        <v>1</v>
      </c>
      <c r="V11" s="26">
        <f>1 - CUSTOS!$M$24</f>
        <v>1</v>
      </c>
      <c r="W11" s="26"/>
      <c r="X11" s="26"/>
      <c r="Y11" s="26"/>
      <c r="Z11" s="26">
        <f>1 - CUSTOS!$M$24</f>
        <v>1</v>
      </c>
      <c r="AA11" s="26"/>
      <c r="AB11" s="26"/>
    </row>
    <row r="12" spans="1:28" ht="11.25" customHeight="1" x14ac:dyDescent="0.3">
      <c r="A12" s="103"/>
      <c r="B12" s="103"/>
      <c r="C12" s="103"/>
      <c r="D12" s="28" t="s">
        <v>30</v>
      </c>
      <c r="E12" s="28" t="s">
        <v>25</v>
      </c>
      <c r="F12" s="28" t="s">
        <v>25</v>
      </c>
      <c r="G12" s="29" t="s">
        <v>79</v>
      </c>
      <c r="H12" s="29" t="s">
        <v>72</v>
      </c>
      <c r="I12" s="29">
        <f>'MERCADO TE'!$U$9</f>
        <v>159.86900000000003</v>
      </c>
      <c r="J12" s="15"/>
      <c r="L12" s="26">
        <f>1 - CUSTOS!$M$25</f>
        <v>1</v>
      </c>
      <c r="M12" s="26">
        <f>1 - CUSTOS!$M$25</f>
        <v>1</v>
      </c>
      <c r="N12" s="26">
        <f>1 - CUSTOS!$M$25</f>
        <v>1</v>
      </c>
      <c r="O12" s="26">
        <f>1 - CUSTOS!$M$25</f>
        <v>1</v>
      </c>
      <c r="P12" s="26">
        <f>1 - CUSTOS!$M$25</f>
        <v>1</v>
      </c>
      <c r="Q12" s="26"/>
      <c r="R12" s="26">
        <f>(1 - CUSTOS!$M$25)*1</f>
        <v>1</v>
      </c>
      <c r="S12" s="26"/>
      <c r="T12" s="26">
        <f>1 - CUSTOS!$M$25</f>
        <v>1</v>
      </c>
      <c r="U12" s="26">
        <f>1 - CUSTOS!$M$25</f>
        <v>1</v>
      </c>
      <c r="V12" s="26">
        <f>1 - CUSTOS!$M$25</f>
        <v>1</v>
      </c>
      <c r="W12" s="26"/>
      <c r="X12" s="26"/>
      <c r="Y12" s="26"/>
      <c r="Z12" s="26">
        <f>1 - CUSTOS!$M$25</f>
        <v>1</v>
      </c>
      <c r="AA12" s="26"/>
      <c r="AB12" s="26"/>
    </row>
    <row r="13" spans="1:28" ht="11.25" customHeight="1" x14ac:dyDescent="0.3">
      <c r="A13" s="103"/>
      <c r="B13" s="103"/>
      <c r="C13" s="103"/>
      <c r="D13" s="28" t="s">
        <v>31</v>
      </c>
      <c r="E13" s="28" t="s">
        <v>25</v>
      </c>
      <c r="F13" s="28" t="s">
        <v>25</v>
      </c>
      <c r="G13" s="29" t="s">
        <v>79</v>
      </c>
      <c r="H13" s="29" t="s">
        <v>72</v>
      </c>
      <c r="I13" s="29">
        <f>'MERCADO TE'!$U$10</f>
        <v>149.93899999999999</v>
      </c>
      <c r="J13" s="15"/>
      <c r="L13" s="26">
        <f>1 - CUSTOS!$M$26</f>
        <v>1</v>
      </c>
      <c r="M13" s="26">
        <f>1 - CUSTOS!$M$26</f>
        <v>1</v>
      </c>
      <c r="N13" s="26">
        <f>1 - CUSTOS!$M$26</f>
        <v>1</v>
      </c>
      <c r="O13" s="26">
        <f>1 - CUSTOS!$M$26</f>
        <v>1</v>
      </c>
      <c r="P13" s="26">
        <f>1 - CUSTOS!$M$26</f>
        <v>1</v>
      </c>
      <c r="Q13" s="26"/>
      <c r="R13" s="26">
        <f>(1 - CUSTOS!$M$26)*1</f>
        <v>1</v>
      </c>
      <c r="S13" s="26"/>
      <c r="T13" s="26">
        <f>1 - CUSTOS!$M$26</f>
        <v>1</v>
      </c>
      <c r="U13" s="26">
        <f>1 - CUSTOS!$M$26</f>
        <v>1</v>
      </c>
      <c r="V13" s="26">
        <f>1 - CUSTOS!$M$26</f>
        <v>1</v>
      </c>
      <c r="W13" s="26"/>
      <c r="X13" s="26"/>
      <c r="Y13" s="26"/>
      <c r="Z13" s="26">
        <f>1 - CUSTOS!$M$26</f>
        <v>1</v>
      </c>
      <c r="AA13" s="26"/>
      <c r="AB13" s="26"/>
    </row>
    <row r="14" spans="1:28" ht="11.25" customHeight="1" x14ac:dyDescent="0.3">
      <c r="A14" s="103"/>
      <c r="B14" s="103"/>
      <c r="C14" s="103"/>
      <c r="D14" s="28" t="s">
        <v>32</v>
      </c>
      <c r="E14" s="28" t="s">
        <v>25</v>
      </c>
      <c r="F14" s="28" t="s">
        <v>25</v>
      </c>
      <c r="G14" s="29" t="s">
        <v>79</v>
      </c>
      <c r="H14" s="29" t="s">
        <v>72</v>
      </c>
      <c r="I14" s="29">
        <f>'MERCADO TE'!$U$11</f>
        <v>50.329000000000001</v>
      </c>
      <c r="J14" s="15"/>
      <c r="L14" s="26">
        <f>1 - CUSTOS!$M$27</f>
        <v>1</v>
      </c>
      <c r="M14" s="26">
        <f>1 - CUSTOS!$M$27</f>
        <v>1</v>
      </c>
      <c r="N14" s="26">
        <f>1 - CUSTOS!$M$27</f>
        <v>1</v>
      </c>
      <c r="O14" s="26">
        <f>1 - CUSTOS!$M$27</f>
        <v>1</v>
      </c>
      <c r="P14" s="26">
        <f>1 - CUSTOS!$M$27</f>
        <v>1</v>
      </c>
      <c r="Q14" s="26"/>
      <c r="R14" s="26">
        <f>(1 - CUSTOS!$M$27)*1</f>
        <v>1</v>
      </c>
      <c r="S14" s="26"/>
      <c r="T14" s="26">
        <f>1 - CUSTOS!$M$27</f>
        <v>1</v>
      </c>
      <c r="U14" s="26">
        <f>1 - CUSTOS!$M$27</f>
        <v>1</v>
      </c>
      <c r="V14" s="26">
        <f>1 - CUSTOS!$M$27</f>
        <v>1</v>
      </c>
      <c r="W14" s="26"/>
      <c r="X14" s="26"/>
      <c r="Y14" s="26"/>
      <c r="Z14" s="26">
        <f>1 - CUSTOS!$M$27</f>
        <v>1</v>
      </c>
      <c r="AA14" s="26"/>
      <c r="AB14" s="26"/>
    </row>
    <row r="15" spans="1:28" ht="11.25" customHeight="1" x14ac:dyDescent="0.3">
      <c r="A15" s="103"/>
      <c r="B15" s="103" t="s">
        <v>87</v>
      </c>
      <c r="C15" s="103" t="s">
        <v>24</v>
      </c>
      <c r="D15" s="28" t="s">
        <v>24</v>
      </c>
      <c r="E15" s="28" t="s">
        <v>25</v>
      </c>
      <c r="F15" s="28" t="s">
        <v>25</v>
      </c>
      <c r="G15" s="29" t="s">
        <v>79</v>
      </c>
      <c r="H15" s="29" t="s">
        <v>72</v>
      </c>
      <c r="I15" s="29">
        <f>'MERCADO TE'!$U$12</f>
        <v>0</v>
      </c>
      <c r="J15" s="15"/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/>
      <c r="R15" s="26">
        <v>1</v>
      </c>
      <c r="S15" s="26"/>
      <c r="T15" s="26">
        <v>1</v>
      </c>
      <c r="U15" s="26">
        <v>1</v>
      </c>
      <c r="V15" s="26">
        <v>1</v>
      </c>
      <c r="W15" s="26"/>
      <c r="X15" s="26"/>
      <c r="Y15" s="26"/>
      <c r="Z15" s="26">
        <v>1</v>
      </c>
      <c r="AA15" s="26"/>
      <c r="AB15" s="26"/>
    </row>
    <row r="16" spans="1:28" ht="11.25" customHeight="1" x14ac:dyDescent="0.3">
      <c r="A16" s="103"/>
      <c r="B16" s="103"/>
      <c r="C16" s="103"/>
      <c r="D16" s="28" t="s">
        <v>29</v>
      </c>
      <c r="E16" s="28" t="s">
        <v>25</v>
      </c>
      <c r="F16" s="28" t="s">
        <v>25</v>
      </c>
      <c r="G16" s="29" t="s">
        <v>79</v>
      </c>
      <c r="H16" s="29" t="s">
        <v>72</v>
      </c>
      <c r="I16" s="29">
        <f>'MERCADO TE'!$U$13</f>
        <v>0</v>
      </c>
      <c r="J16" s="15"/>
      <c r="L16" s="26">
        <f>1 - CUSTOS!$M$24</f>
        <v>1</v>
      </c>
      <c r="M16" s="26">
        <f>1 - CUSTOS!$M$24</f>
        <v>1</v>
      </c>
      <c r="N16" s="26">
        <f>1 - CUSTOS!$M$24</f>
        <v>1</v>
      </c>
      <c r="O16" s="26">
        <f>1 - CUSTOS!$M$24</f>
        <v>1</v>
      </c>
      <c r="P16" s="26">
        <f>1 - CUSTOS!$M$24</f>
        <v>1</v>
      </c>
      <c r="Q16" s="26"/>
      <c r="R16" s="26">
        <f>(1 - CUSTOS!$M$24)*1</f>
        <v>1</v>
      </c>
      <c r="S16" s="26"/>
      <c r="T16" s="26">
        <f>1 - CUSTOS!$M$24</f>
        <v>1</v>
      </c>
      <c r="U16" s="26">
        <f>1 - CUSTOS!$M$24</f>
        <v>1</v>
      </c>
      <c r="V16" s="26">
        <f>1 - CUSTOS!$M$24</f>
        <v>1</v>
      </c>
      <c r="W16" s="26"/>
      <c r="X16" s="26"/>
      <c r="Y16" s="26"/>
      <c r="Z16" s="26">
        <f>1 - CUSTOS!$M$24</f>
        <v>1</v>
      </c>
      <c r="AA16" s="26"/>
      <c r="AB16" s="26"/>
    </row>
    <row r="17" spans="1:28" ht="11.25" customHeight="1" x14ac:dyDescent="0.3">
      <c r="A17" s="103"/>
      <c r="B17" s="103"/>
      <c r="C17" s="103"/>
      <c r="D17" s="28" t="s">
        <v>30</v>
      </c>
      <c r="E17" s="28" t="s">
        <v>25</v>
      </c>
      <c r="F17" s="28" t="s">
        <v>25</v>
      </c>
      <c r="G17" s="29" t="s">
        <v>79</v>
      </c>
      <c r="H17" s="29" t="s">
        <v>72</v>
      </c>
      <c r="I17" s="29">
        <f>'MERCADO TE'!$U$14</f>
        <v>0</v>
      </c>
      <c r="J17" s="15"/>
      <c r="L17" s="26">
        <f>1 - CUSTOS!$M$25</f>
        <v>1</v>
      </c>
      <c r="M17" s="26">
        <f>1 - CUSTOS!$M$25</f>
        <v>1</v>
      </c>
      <c r="N17" s="26">
        <f>1 - CUSTOS!$M$25</f>
        <v>1</v>
      </c>
      <c r="O17" s="26">
        <f>1 - CUSTOS!$M$25</f>
        <v>1</v>
      </c>
      <c r="P17" s="26">
        <f>1 - CUSTOS!$M$25</f>
        <v>1</v>
      </c>
      <c r="Q17" s="26"/>
      <c r="R17" s="26">
        <f>(1 - CUSTOS!$M$25)*1</f>
        <v>1</v>
      </c>
      <c r="S17" s="26"/>
      <c r="T17" s="26">
        <f>1 - CUSTOS!$M$25</f>
        <v>1</v>
      </c>
      <c r="U17" s="26">
        <f>1 - CUSTOS!$M$25</f>
        <v>1</v>
      </c>
      <c r="V17" s="26">
        <f>1 - CUSTOS!$M$25</f>
        <v>1</v>
      </c>
      <c r="W17" s="26"/>
      <c r="X17" s="26"/>
      <c r="Y17" s="26"/>
      <c r="Z17" s="26">
        <f>1 - CUSTOS!$M$25</f>
        <v>1</v>
      </c>
      <c r="AA17" s="26"/>
      <c r="AB17" s="26"/>
    </row>
    <row r="18" spans="1:28" ht="11.25" customHeight="1" x14ac:dyDescent="0.3">
      <c r="A18" s="103"/>
      <c r="B18" s="103"/>
      <c r="C18" s="103"/>
      <c r="D18" s="28" t="s">
        <v>31</v>
      </c>
      <c r="E18" s="28" t="s">
        <v>25</v>
      </c>
      <c r="F18" s="28" t="s">
        <v>25</v>
      </c>
      <c r="G18" s="29" t="s">
        <v>79</v>
      </c>
      <c r="H18" s="29" t="s">
        <v>72</v>
      </c>
      <c r="I18" s="29">
        <f>'MERCADO TE'!$U$15</f>
        <v>0</v>
      </c>
      <c r="J18" s="15"/>
      <c r="L18" s="26">
        <f>1 - CUSTOS!$M$26</f>
        <v>1</v>
      </c>
      <c r="M18" s="26">
        <f>1 - CUSTOS!$M$26</f>
        <v>1</v>
      </c>
      <c r="N18" s="26">
        <f>1 - CUSTOS!$M$26</f>
        <v>1</v>
      </c>
      <c r="O18" s="26">
        <f>1 - CUSTOS!$M$26</f>
        <v>1</v>
      </c>
      <c r="P18" s="26">
        <f>1 - CUSTOS!$M$26</f>
        <v>1</v>
      </c>
      <c r="Q18" s="26"/>
      <c r="R18" s="26">
        <f>(1 - CUSTOS!$M$26)*1</f>
        <v>1</v>
      </c>
      <c r="S18" s="26"/>
      <c r="T18" s="26">
        <f>1 - CUSTOS!$M$26</f>
        <v>1</v>
      </c>
      <c r="U18" s="26">
        <f>1 - CUSTOS!$M$26</f>
        <v>1</v>
      </c>
      <c r="V18" s="26">
        <f>1 - CUSTOS!$M$26</f>
        <v>1</v>
      </c>
      <c r="W18" s="26"/>
      <c r="X18" s="26"/>
      <c r="Y18" s="26"/>
      <c r="Z18" s="26">
        <f>1 - CUSTOS!$M$26</f>
        <v>1</v>
      </c>
      <c r="AA18" s="26"/>
      <c r="AB18" s="26"/>
    </row>
    <row r="19" spans="1:28" ht="11.25" customHeight="1" x14ac:dyDescent="0.3">
      <c r="A19" s="103"/>
      <c r="B19" s="103"/>
      <c r="C19" s="103"/>
      <c r="D19" s="28" t="s">
        <v>32</v>
      </c>
      <c r="E19" s="28" t="s">
        <v>25</v>
      </c>
      <c r="F19" s="28" t="s">
        <v>25</v>
      </c>
      <c r="G19" s="29" t="s">
        <v>79</v>
      </c>
      <c r="H19" s="29" t="s">
        <v>72</v>
      </c>
      <c r="I19" s="29">
        <f>'MERCADO TE'!$U$16</f>
        <v>0</v>
      </c>
      <c r="J19" s="15"/>
      <c r="L19" s="26">
        <f>1 - CUSTOS!$M$27</f>
        <v>1</v>
      </c>
      <c r="M19" s="26">
        <f>1 - CUSTOS!$M$27</f>
        <v>1</v>
      </c>
      <c r="N19" s="26">
        <f>1 - CUSTOS!$M$27</f>
        <v>1</v>
      </c>
      <c r="O19" s="26">
        <f>1 - CUSTOS!$M$27</f>
        <v>1</v>
      </c>
      <c r="P19" s="26">
        <f>1 - CUSTOS!$M$27</f>
        <v>1</v>
      </c>
      <c r="Q19" s="26"/>
      <c r="R19" s="26">
        <f>(1 - CUSTOS!$M$27)*1</f>
        <v>1</v>
      </c>
      <c r="S19" s="26"/>
      <c r="T19" s="26">
        <f>1 - CUSTOS!$M$27</f>
        <v>1</v>
      </c>
      <c r="U19" s="26">
        <f>1 - CUSTOS!$M$27</f>
        <v>1</v>
      </c>
      <c r="V19" s="26">
        <f>1 - CUSTOS!$M$27</f>
        <v>1</v>
      </c>
      <c r="W19" s="26"/>
      <c r="X19" s="26"/>
      <c r="Y19" s="26"/>
      <c r="Z19" s="26">
        <f>1 - CUSTOS!$M$27</f>
        <v>1</v>
      </c>
      <c r="AA19" s="26"/>
      <c r="AB19" s="26"/>
    </row>
    <row r="20" spans="1:28" ht="11.25" customHeight="1" x14ac:dyDescent="0.3">
      <c r="A20" s="103" t="s">
        <v>42</v>
      </c>
      <c r="B20" s="103" t="s">
        <v>71</v>
      </c>
      <c r="C20" s="103" t="s">
        <v>43</v>
      </c>
      <c r="D20" s="103" t="s">
        <v>25</v>
      </c>
      <c r="E20" s="103" t="s">
        <v>25</v>
      </c>
      <c r="F20" s="103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1 - CUSTOS!$M$28</f>
        <v>1</v>
      </c>
      <c r="M20" s="26">
        <f>1 - CUSTOS!$M$28</f>
        <v>1</v>
      </c>
      <c r="N20" s="26">
        <f>1 - CUSTOS!$M$28</f>
        <v>1</v>
      </c>
      <c r="O20" s="26">
        <f>1 - CUSTOS!$M$28</f>
        <v>1</v>
      </c>
      <c r="P20" s="26">
        <f>1 - CUSTOS!$M$28</f>
        <v>1</v>
      </c>
      <c r="Q20" s="26"/>
      <c r="R20" s="26">
        <f>(1 - CUSTOS!$M$28)*1</f>
        <v>1</v>
      </c>
      <c r="S20" s="26"/>
      <c r="T20" s="26">
        <f>1 - CUSTOS!$M$28</f>
        <v>1</v>
      </c>
      <c r="U20" s="26">
        <f>1 - CUSTOS!$M$28</f>
        <v>1</v>
      </c>
      <c r="V20" s="26">
        <f>1 - CUSTOS!$M$28</f>
        <v>1</v>
      </c>
      <c r="W20" s="26"/>
      <c r="X20" s="26"/>
      <c r="Y20" s="26"/>
      <c r="Z20" s="26">
        <f>1 - CUSTOS!$M$28</f>
        <v>1</v>
      </c>
      <c r="AA20" s="26"/>
      <c r="AB20" s="26"/>
    </row>
    <row r="21" spans="1:28" ht="11.25" customHeight="1" x14ac:dyDescent="0.3">
      <c r="A21" s="103"/>
      <c r="B21" s="103"/>
      <c r="C21" s="103"/>
      <c r="D21" s="103"/>
      <c r="E21" s="103"/>
      <c r="F21" s="103"/>
      <c r="G21" s="29" t="s">
        <v>85</v>
      </c>
      <c r="H21" s="29" t="s">
        <v>72</v>
      </c>
      <c r="I21" s="29">
        <f>'MERCADO TE'!$U$18</f>
        <v>0</v>
      </c>
      <c r="J21" s="15"/>
      <c r="L21" s="26">
        <f>1 - CUSTOS!$M$28</f>
        <v>1</v>
      </c>
      <c r="M21" s="26">
        <f>1 - CUSTOS!$M$28</f>
        <v>1</v>
      </c>
      <c r="N21" s="26">
        <f>1 - CUSTOS!$M$28</f>
        <v>1</v>
      </c>
      <c r="O21" s="26">
        <f>1 - CUSTOS!$M$28</f>
        <v>1</v>
      </c>
      <c r="P21" s="26">
        <f>1 - CUSTOS!$M$28</f>
        <v>1</v>
      </c>
      <c r="Q21" s="26"/>
      <c r="R21" s="26">
        <f>(1 - CUSTOS!$M$28)*1</f>
        <v>1</v>
      </c>
      <c r="S21" s="26"/>
      <c r="T21" s="26">
        <f>1 - CUSTOS!$M$28</f>
        <v>1</v>
      </c>
      <c r="U21" s="26">
        <f>1 - CUSTOS!$M$28</f>
        <v>1</v>
      </c>
      <c r="V21" s="26">
        <f>1 - CUSTOS!$M$28</f>
        <v>1</v>
      </c>
      <c r="W21" s="26"/>
      <c r="X21" s="26"/>
      <c r="Y21" s="26"/>
      <c r="Z21" s="26">
        <f>1 - CUSTOS!$M$28</f>
        <v>1</v>
      </c>
      <c r="AA21" s="26"/>
      <c r="AB21" s="26"/>
    </row>
    <row r="22" spans="1:28" ht="11.25" customHeight="1" x14ac:dyDescent="0.3">
      <c r="A22" s="103"/>
      <c r="B22" s="103"/>
      <c r="C22" s="103"/>
      <c r="D22" s="103"/>
      <c r="E22" s="103"/>
      <c r="F22" s="103"/>
      <c r="G22" s="29" t="s">
        <v>74</v>
      </c>
      <c r="H22" s="29" t="s">
        <v>72</v>
      </c>
      <c r="I22" s="29">
        <f>'MERCADO TE'!$U$19</f>
        <v>0</v>
      </c>
      <c r="J22" s="15"/>
      <c r="L22" s="26">
        <f>1 - CUSTOS!$M$28</f>
        <v>1</v>
      </c>
      <c r="M22" s="26">
        <f>1 - CUSTOS!$M$28</f>
        <v>1</v>
      </c>
      <c r="N22" s="26">
        <f>1 - CUSTOS!$M$28</f>
        <v>1</v>
      </c>
      <c r="O22" s="26">
        <f>1 - CUSTOS!$M$28</f>
        <v>1</v>
      </c>
      <c r="P22" s="26">
        <f>1 - CUSTOS!$M$28</f>
        <v>1</v>
      </c>
      <c r="Q22" s="26"/>
      <c r="R22" s="26">
        <f>(1 - CUSTOS!$M$28)*1</f>
        <v>1</v>
      </c>
      <c r="S22" s="26"/>
      <c r="T22" s="26">
        <f>1 - CUSTOS!$M$28</f>
        <v>1</v>
      </c>
      <c r="U22" s="26">
        <f>1 - CUSTOS!$M$28</f>
        <v>1</v>
      </c>
      <c r="V22" s="26">
        <f>1 - CUSTOS!$M$28</f>
        <v>1</v>
      </c>
      <c r="W22" s="26"/>
      <c r="X22" s="26"/>
      <c r="Y22" s="26"/>
      <c r="Z22" s="26">
        <f>1 - CUSTOS!$M$28</f>
        <v>1</v>
      </c>
      <c r="AA22" s="26"/>
      <c r="AB22" s="26"/>
    </row>
    <row r="23" spans="1:28" ht="11.25" customHeight="1" x14ac:dyDescent="0.3">
      <c r="A23" s="103"/>
      <c r="B23" s="28" t="s">
        <v>86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79</v>
      </c>
      <c r="H23" s="29" t="s">
        <v>72</v>
      </c>
      <c r="I23" s="29">
        <f>'MERCADO TE'!$U$20</f>
        <v>5511.7490000000016</v>
      </c>
      <c r="J23" s="15"/>
      <c r="L23" s="26">
        <f>1 - CUSTOS!$M$28</f>
        <v>1</v>
      </c>
      <c r="M23" s="26">
        <f>1 - CUSTOS!$M$28</f>
        <v>1</v>
      </c>
      <c r="N23" s="26">
        <f>1 - CUSTOS!$M$28</f>
        <v>1</v>
      </c>
      <c r="O23" s="26">
        <f>1 - CUSTOS!$M$28</f>
        <v>1</v>
      </c>
      <c r="P23" s="26">
        <f>1 - CUSTOS!$M$28</f>
        <v>1</v>
      </c>
      <c r="Q23" s="26"/>
      <c r="R23" s="26">
        <f>(1 - CUSTOS!$M$28)*1</f>
        <v>1</v>
      </c>
      <c r="S23" s="26"/>
      <c r="T23" s="26">
        <f>1 - CUSTOS!$M$28</f>
        <v>1</v>
      </c>
      <c r="U23" s="26">
        <f>1 - CUSTOS!$M$28</f>
        <v>1</v>
      </c>
      <c r="V23" s="26">
        <f>1 - CUSTOS!$M$28</f>
        <v>1</v>
      </c>
      <c r="W23" s="26"/>
      <c r="X23" s="26"/>
      <c r="Y23" s="26"/>
      <c r="Z23" s="26">
        <f>1 - CUSTOS!$M$28</f>
        <v>1</v>
      </c>
      <c r="AA23" s="26"/>
      <c r="AB23" s="26"/>
    </row>
    <row r="24" spans="1:28" ht="11.25" customHeight="1" x14ac:dyDescent="0.3">
      <c r="A24" s="103"/>
      <c r="B24" s="103" t="s">
        <v>71</v>
      </c>
      <c r="C24" s="103" t="s">
        <v>43</v>
      </c>
      <c r="D24" s="103" t="s">
        <v>89</v>
      </c>
      <c r="E24" s="103" t="s">
        <v>25</v>
      </c>
      <c r="F24" s="103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1 - CUSTOS!$M$29</f>
        <v>1</v>
      </c>
      <c r="M24" s="26">
        <f>1 - CUSTOS!$M$29</f>
        <v>1</v>
      </c>
      <c r="N24" s="26">
        <f>1 - CUSTOS!$M$29</f>
        <v>1</v>
      </c>
      <c r="O24" s="26">
        <f>1 - CUSTOS!$M$29</f>
        <v>1</v>
      </c>
      <c r="P24" s="26">
        <f>1 - CUSTOS!$M$29</f>
        <v>1</v>
      </c>
      <c r="Q24" s="26"/>
      <c r="R24" s="26">
        <f>(1 - CUSTOS!$M$29)*1</f>
        <v>1</v>
      </c>
      <c r="S24" s="26"/>
      <c r="T24" s="26">
        <f>1 - CUSTOS!$M$29</f>
        <v>1</v>
      </c>
      <c r="U24" s="26">
        <f>1 - CUSTOS!$M$29</f>
        <v>1</v>
      </c>
      <c r="V24" s="26">
        <f>1 - CUSTOS!$M$29</f>
        <v>1</v>
      </c>
      <c r="W24" s="26"/>
      <c r="X24" s="26"/>
      <c r="Y24" s="26"/>
      <c r="Z24" s="26">
        <f>1 - CUSTOS!$M$29</f>
        <v>1</v>
      </c>
      <c r="AA24" s="26"/>
      <c r="AB24" s="26"/>
    </row>
    <row r="25" spans="1:28" ht="11.25" customHeight="1" x14ac:dyDescent="0.3">
      <c r="A25" s="103"/>
      <c r="B25" s="103"/>
      <c r="C25" s="103"/>
      <c r="D25" s="103"/>
      <c r="E25" s="103"/>
      <c r="F25" s="103"/>
      <c r="G25" s="29" t="s">
        <v>85</v>
      </c>
      <c r="H25" s="29" t="s">
        <v>72</v>
      </c>
      <c r="I25" s="29">
        <f>'MERCADO TE'!$U$22</f>
        <v>0</v>
      </c>
      <c r="J25" s="15"/>
      <c r="L25" s="26">
        <f>1 - CUSTOS!$M$29</f>
        <v>1</v>
      </c>
      <c r="M25" s="26">
        <f>1 - CUSTOS!$M$29</f>
        <v>1</v>
      </c>
      <c r="N25" s="26">
        <f>1 - CUSTOS!$M$29</f>
        <v>1</v>
      </c>
      <c r="O25" s="26">
        <f>1 - CUSTOS!$M$29</f>
        <v>1</v>
      </c>
      <c r="P25" s="26">
        <f>1 - CUSTOS!$M$29</f>
        <v>1</v>
      </c>
      <c r="Q25" s="26"/>
      <c r="R25" s="26">
        <f>(1 - CUSTOS!$M$29)*1</f>
        <v>1</v>
      </c>
      <c r="S25" s="26"/>
      <c r="T25" s="26">
        <f>1 - CUSTOS!$M$29</f>
        <v>1</v>
      </c>
      <c r="U25" s="26">
        <f>1 - CUSTOS!$M$29</f>
        <v>1</v>
      </c>
      <c r="V25" s="26">
        <f>1 - CUSTOS!$M$29</f>
        <v>1</v>
      </c>
      <c r="W25" s="26"/>
      <c r="X25" s="26"/>
      <c r="Y25" s="26"/>
      <c r="Z25" s="26">
        <f>1 - CUSTOS!$M$29</f>
        <v>1</v>
      </c>
      <c r="AA25" s="26"/>
      <c r="AB25" s="26"/>
    </row>
    <row r="26" spans="1:28" ht="11.25" customHeight="1" x14ac:dyDescent="0.3">
      <c r="A26" s="103"/>
      <c r="B26" s="103"/>
      <c r="C26" s="103"/>
      <c r="D26" s="103"/>
      <c r="E26" s="103"/>
      <c r="F26" s="103"/>
      <c r="G26" s="29" t="s">
        <v>74</v>
      </c>
      <c r="H26" s="29" t="s">
        <v>72</v>
      </c>
      <c r="I26" s="29">
        <f>'MERCADO TE'!$U$23</f>
        <v>0</v>
      </c>
      <c r="J26" s="15"/>
      <c r="L26" s="26">
        <f>1 - CUSTOS!$M$29</f>
        <v>1</v>
      </c>
      <c r="M26" s="26">
        <f>1 - CUSTOS!$M$29</f>
        <v>1</v>
      </c>
      <c r="N26" s="26">
        <f>1 - CUSTOS!$M$29</f>
        <v>1</v>
      </c>
      <c r="O26" s="26">
        <f>1 - CUSTOS!$M$29</f>
        <v>1</v>
      </c>
      <c r="P26" s="26">
        <f>1 - CUSTOS!$M$29</f>
        <v>1</v>
      </c>
      <c r="Q26" s="26"/>
      <c r="R26" s="26">
        <f>(1 - CUSTOS!$M$29)*1</f>
        <v>1</v>
      </c>
      <c r="S26" s="26"/>
      <c r="T26" s="26">
        <f>1 - CUSTOS!$M$29</f>
        <v>1</v>
      </c>
      <c r="U26" s="26">
        <f>1 - CUSTOS!$M$29</f>
        <v>1</v>
      </c>
      <c r="V26" s="26">
        <f>1 - CUSTOS!$M$29</f>
        <v>1</v>
      </c>
      <c r="W26" s="26"/>
      <c r="X26" s="26"/>
      <c r="Y26" s="26"/>
      <c r="Z26" s="26">
        <f>1 - CUSTOS!$M$29</f>
        <v>1</v>
      </c>
      <c r="AA26" s="26"/>
      <c r="AB26" s="26"/>
    </row>
    <row r="27" spans="1:28" ht="11.25" customHeight="1" x14ac:dyDescent="0.3">
      <c r="A27" s="103"/>
      <c r="B27" s="28" t="s">
        <v>86</v>
      </c>
      <c r="C27" s="28" t="s">
        <v>43</v>
      </c>
      <c r="D27" s="28" t="s">
        <v>89</v>
      </c>
      <c r="E27" s="28" t="s">
        <v>25</v>
      </c>
      <c r="F27" s="28" t="s">
        <v>25</v>
      </c>
      <c r="G27" s="29" t="s">
        <v>79</v>
      </c>
      <c r="H27" s="29" t="s">
        <v>72</v>
      </c>
      <c r="I27" s="29">
        <f>'MERCADO TE'!$U$24</f>
        <v>0</v>
      </c>
      <c r="J27" s="15"/>
      <c r="L27" s="26">
        <f>1 - CUSTOS!$M$29</f>
        <v>1</v>
      </c>
      <c r="M27" s="26">
        <f>1 - CUSTOS!$M$29</f>
        <v>1</v>
      </c>
      <c r="N27" s="26">
        <f>1 - CUSTOS!$M$29</f>
        <v>1</v>
      </c>
      <c r="O27" s="26">
        <f>1 - CUSTOS!$M$29</f>
        <v>1</v>
      </c>
      <c r="P27" s="26">
        <f>1 - CUSTOS!$M$29</f>
        <v>1</v>
      </c>
      <c r="Q27" s="26"/>
      <c r="R27" s="26">
        <f>(1 - CUSTOS!$M$29)*1</f>
        <v>1</v>
      </c>
      <c r="S27" s="26"/>
      <c r="T27" s="26">
        <f>1 - CUSTOS!$M$29</f>
        <v>1</v>
      </c>
      <c r="U27" s="26">
        <f>1 - CUSTOS!$M$29</f>
        <v>1</v>
      </c>
      <c r="V27" s="26">
        <f>1 - CUSTOS!$M$29</f>
        <v>1</v>
      </c>
      <c r="W27" s="26"/>
      <c r="X27" s="26"/>
      <c r="Y27" s="26"/>
      <c r="Z27" s="26">
        <f>1 - CUSTOS!$M$29</f>
        <v>1</v>
      </c>
      <c r="AA27" s="26"/>
      <c r="AB27" s="26"/>
    </row>
    <row r="28" spans="1:28" ht="11.25" customHeight="1" x14ac:dyDescent="0.3">
      <c r="A28" s="103"/>
      <c r="B28" s="103" t="s">
        <v>71</v>
      </c>
      <c r="C28" s="103" t="s">
        <v>43</v>
      </c>
      <c r="D28" s="103" t="s">
        <v>90</v>
      </c>
      <c r="E28" s="103" t="s">
        <v>25</v>
      </c>
      <c r="F28" s="103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1 - CUSTOS!$M$30</f>
        <v>1</v>
      </c>
      <c r="M28" s="26">
        <f>1 - CUSTOS!$M$30</f>
        <v>1</v>
      </c>
      <c r="N28" s="26">
        <f>1 - CUSTOS!$M$30</f>
        <v>1</v>
      </c>
      <c r="O28" s="26">
        <f>1 - CUSTOS!$M$30</f>
        <v>1</v>
      </c>
      <c r="P28" s="26">
        <f>1 - CUSTOS!$M$30</f>
        <v>1</v>
      </c>
      <c r="Q28" s="26"/>
      <c r="R28" s="26">
        <f>(1 - CUSTOS!$M$30)*1</f>
        <v>1</v>
      </c>
      <c r="S28" s="26"/>
      <c r="T28" s="26">
        <f>1 - CUSTOS!$M$30</f>
        <v>1</v>
      </c>
      <c r="U28" s="26">
        <f>1 - CUSTOS!$M$30</f>
        <v>1</v>
      </c>
      <c r="V28" s="26">
        <f>1 - CUSTOS!$M$30</f>
        <v>1</v>
      </c>
      <c r="W28" s="26"/>
      <c r="X28" s="26"/>
      <c r="Y28" s="26"/>
      <c r="Z28" s="26">
        <f>1 - CUSTOS!$M$30</f>
        <v>1</v>
      </c>
      <c r="AA28" s="26"/>
      <c r="AB28" s="26"/>
    </row>
    <row r="29" spans="1:28" ht="11.25" customHeight="1" x14ac:dyDescent="0.3">
      <c r="A29" s="103"/>
      <c r="B29" s="103"/>
      <c r="C29" s="103"/>
      <c r="D29" s="103"/>
      <c r="E29" s="103"/>
      <c r="F29" s="103"/>
      <c r="G29" s="29" t="s">
        <v>85</v>
      </c>
      <c r="H29" s="29" t="s">
        <v>72</v>
      </c>
      <c r="I29" s="29">
        <f>'MERCADO TE'!$U$26</f>
        <v>0</v>
      </c>
      <c r="J29" s="15"/>
      <c r="L29" s="26">
        <f>1 - CUSTOS!$M$30</f>
        <v>1</v>
      </c>
      <c r="M29" s="26">
        <f>1 - CUSTOS!$M$30</f>
        <v>1</v>
      </c>
      <c r="N29" s="26">
        <f>1 - CUSTOS!$M$30</f>
        <v>1</v>
      </c>
      <c r="O29" s="26">
        <f>1 - CUSTOS!$M$30</f>
        <v>1</v>
      </c>
      <c r="P29" s="26">
        <f>1 - CUSTOS!$M$30</f>
        <v>1</v>
      </c>
      <c r="Q29" s="26"/>
      <c r="R29" s="26">
        <f>(1 - CUSTOS!$M$30)*1</f>
        <v>1</v>
      </c>
      <c r="S29" s="26"/>
      <c r="T29" s="26">
        <f>1 - CUSTOS!$M$30</f>
        <v>1</v>
      </c>
      <c r="U29" s="26">
        <f>1 - CUSTOS!$M$30</f>
        <v>1</v>
      </c>
      <c r="V29" s="26">
        <f>1 - CUSTOS!$M$30</f>
        <v>1</v>
      </c>
      <c r="W29" s="26"/>
      <c r="X29" s="26"/>
      <c r="Y29" s="26"/>
      <c r="Z29" s="26">
        <f>1 - CUSTOS!$M$30</f>
        <v>1</v>
      </c>
      <c r="AA29" s="26"/>
      <c r="AB29" s="26"/>
    </row>
    <row r="30" spans="1:28" ht="11.25" c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"29" t="s">
        <v>72</v>
      </c>
      <c r="I30" s="29">
        <f>'MERCADO TE'!$U$27</f>
        <v>0</v>
      </c>
      <c r="J30" s="15"/>
      <c r="L30" s="26">
        <f>1 - CUSTOS!$M$30</f>
        <v>1</v>
      </c>
      <c r="M30" s="26">
        <f>1 - CUSTOS!$M$30</f>
        <v>1</v>
      </c>
      <c r="N30" s="26">
        <f>1 - CUSTOS!$M$30</f>
        <v>1</v>
      </c>
      <c r="O30" s="26">
        <f>1 - CUSTOS!$M$30</f>
        <v>1</v>
      </c>
      <c r="P30" s="26">
        <f>1 - CUSTOS!$M$30</f>
        <v>1</v>
      </c>
      <c r="Q30" s="26"/>
      <c r="R30" s="26">
        <f>(1 - CUSTOS!$M$30)*1</f>
        <v>1</v>
      </c>
      <c r="S30" s="26"/>
      <c r="T30" s="26">
        <f>1 - CUSTOS!$M$30</f>
        <v>1</v>
      </c>
      <c r="U30" s="26">
        <f>1 - CUSTOS!$M$30</f>
        <v>1</v>
      </c>
      <c r="V30" s="26">
        <f>1 - CUSTOS!$M$30</f>
        <v>1</v>
      </c>
      <c r="W30" s="26"/>
      <c r="X30" s="26"/>
      <c r="Y30" s="26"/>
      <c r="Z30" s="26">
        <f>1 - CUSTOS!$M$30</f>
        <v>1</v>
      </c>
      <c r="AA30" s="26"/>
      <c r="AB30" s="26"/>
    </row>
    <row r="31" spans="1:28" ht="11.25" customHeight="1" x14ac:dyDescent="0.3">
      <c r="A31" s="103"/>
      <c r="B31" s="28" t="s">
        <v>86</v>
      </c>
      <c r="C31" s="28" t="s">
        <v>43</v>
      </c>
      <c r="D31" s="28" t="s">
        <v>90</v>
      </c>
      <c r="E31" s="28" t="s">
        <v>25</v>
      </c>
      <c r="F31" s="28" t="s">
        <v>25</v>
      </c>
      <c r="G31" s="29" t="s">
        <v>79</v>
      </c>
      <c r="H31" s="29" t="s">
        <v>72</v>
      </c>
      <c r="I31" s="29">
        <f>'MERCADO TE'!$U$28</f>
        <v>0</v>
      </c>
      <c r="J31" s="15"/>
      <c r="L31" s="26">
        <f>1 - CUSTOS!$M$30</f>
        <v>1</v>
      </c>
      <c r="M31" s="26">
        <f>1 - CUSTOS!$M$30</f>
        <v>1</v>
      </c>
      <c r="N31" s="26">
        <f>1 - CUSTOS!$M$30</f>
        <v>1</v>
      </c>
      <c r="O31" s="26">
        <f>1 - CUSTOS!$M$30</f>
        <v>1</v>
      </c>
      <c r="P31" s="26">
        <f>1 - CUSTOS!$M$30</f>
        <v>1</v>
      </c>
      <c r="Q31" s="26"/>
      <c r="R31" s="26">
        <f>(1 - CUSTOS!$M$30)*1</f>
        <v>1</v>
      </c>
      <c r="S31" s="26"/>
      <c r="T31" s="26">
        <f>1 - CUSTOS!$M$30</f>
        <v>1</v>
      </c>
      <c r="U31" s="26">
        <f>1 - CUSTOS!$M$30</f>
        <v>1</v>
      </c>
      <c r="V31" s="26">
        <f>1 - CUSTOS!$M$30</f>
        <v>1</v>
      </c>
      <c r="W31" s="26"/>
      <c r="X31" s="26"/>
      <c r="Y31" s="26"/>
      <c r="Z31" s="26">
        <f>1 - CUSTOS!$M$30</f>
        <v>1</v>
      </c>
      <c r="AA31" s="26"/>
      <c r="AB31" s="26"/>
    </row>
    <row r="32" spans="1:28" ht="11.25" customHeight="1" x14ac:dyDescent="0.3">
      <c r="A32" s="103"/>
      <c r="B32" s="103" t="s">
        <v>87</v>
      </c>
      <c r="C32" s="103" t="s">
        <v>43</v>
      </c>
      <c r="D32" s="28" t="s">
        <v>25</v>
      </c>
      <c r="E32" s="28" t="s">
        <v>25</v>
      </c>
      <c r="F32" s="28" t="s">
        <v>25</v>
      </c>
      <c r="G32" s="29" t="s">
        <v>79</v>
      </c>
      <c r="H32" s="29" t="s">
        <v>72</v>
      </c>
      <c r="I32" s="29">
        <f>'MERCADO TE'!$U$29</f>
        <v>0</v>
      </c>
      <c r="J32" s="15"/>
      <c r="L32" s="26">
        <f>1 - CUSTOS!$M$28</f>
        <v>1</v>
      </c>
      <c r="M32" s="26">
        <f>1 - CUSTOS!$M$28</f>
        <v>1</v>
      </c>
      <c r="N32" s="26">
        <f>1 - CUSTOS!$M$28</f>
        <v>1</v>
      </c>
      <c r="O32" s="26">
        <f>1 - CUSTOS!$M$28</f>
        <v>1</v>
      </c>
      <c r="P32" s="26">
        <f>1 - CUSTOS!$M$28</f>
        <v>1</v>
      </c>
      <c r="Q32" s="26"/>
      <c r="R32" s="26">
        <f>(1 - CUSTOS!$M$28)*1</f>
        <v>1</v>
      </c>
      <c r="S32" s="26"/>
      <c r="T32" s="26">
        <f>1 - CUSTOS!$M$28</f>
        <v>1</v>
      </c>
      <c r="U32" s="26">
        <f>1 - CUSTOS!$M$28</f>
        <v>1</v>
      </c>
      <c r="V32" s="26">
        <f>1 - CUSTOS!$M$28</f>
        <v>1</v>
      </c>
      <c r="W32" s="26"/>
      <c r="X32" s="26"/>
      <c r="Y32" s="26"/>
      <c r="Z32" s="26">
        <f>1 - CUSTOS!$M$28</f>
        <v>1</v>
      </c>
      <c r="AA32" s="26"/>
      <c r="AB32" s="26"/>
    </row>
    <row r="33" spans="1:28" ht="11.25" customHeight="1" x14ac:dyDescent="0.3">
      <c r="A33" s="103"/>
      <c r="B33" s="103"/>
      <c r="C33" s="103"/>
      <c r="D33" s="28" t="s">
        <v>89</v>
      </c>
      <c r="E33" s="28" t="s">
        <v>25</v>
      </c>
      <c r="F33" s="28" t="s">
        <v>25</v>
      </c>
      <c r="G33" s="29" t="s">
        <v>79</v>
      </c>
      <c r="H33" s="29" t="s">
        <v>72</v>
      </c>
      <c r="I33" s="29">
        <f>'MERCADO TE'!$U$30</f>
        <v>0</v>
      </c>
      <c r="J33" s="15"/>
      <c r="L33" s="26">
        <f>1 - CUSTOS!$M$29</f>
        <v>1</v>
      </c>
      <c r="M33" s="26">
        <f>1 - CUSTOS!$M$29</f>
        <v>1</v>
      </c>
      <c r="N33" s="26">
        <f>1 - CUSTOS!$M$29</f>
        <v>1</v>
      </c>
      <c r="O33" s="26">
        <f>1 - CUSTOS!$M$29</f>
        <v>1</v>
      </c>
      <c r="P33" s="26">
        <f>1 - CUSTOS!$M$29</f>
        <v>1</v>
      </c>
      <c r="Q33" s="26"/>
      <c r="R33" s="26">
        <f>(1 - CUSTOS!$M$29)*1</f>
        <v>1</v>
      </c>
      <c r="S33" s="26"/>
      <c r="T33" s="26">
        <f>1 - CUSTOS!$M$29</f>
        <v>1</v>
      </c>
      <c r="U33" s="26">
        <f>1 - CUSTOS!$M$29</f>
        <v>1</v>
      </c>
      <c r="V33" s="26">
        <f>1 - CUSTOS!$M$29</f>
        <v>1</v>
      </c>
      <c r="W33" s="26"/>
      <c r="X33" s="26"/>
      <c r="Y33" s="26"/>
      <c r="Z33" s="26">
        <f>1 - CUSTOS!$M$29</f>
        <v>1</v>
      </c>
      <c r="AA33" s="26"/>
      <c r="AB33" s="26"/>
    </row>
    <row r="34" spans="1:28" ht="11.25" customHeight="1" x14ac:dyDescent="0.3">
      <c r="A34" s="103"/>
      <c r="B34" s="103"/>
      <c r="C34" s="103"/>
      <c r="D34" s="28" t="s">
        <v>90</v>
      </c>
      <c r="E34" s="28" t="s">
        <v>25</v>
      </c>
      <c r="F34" s="28" t="s">
        <v>25</v>
      </c>
      <c r="G34" s="29" t="s">
        <v>79</v>
      </c>
      <c r="H34" s="29" t="s">
        <v>72</v>
      </c>
      <c r="I34" s="29">
        <f>'MERCADO TE'!$U$31</f>
        <v>0</v>
      </c>
      <c r="J34" s="15"/>
      <c r="L34" s="26">
        <f>1 - CUSTOS!$M$30</f>
        <v>1</v>
      </c>
      <c r="M34" s="26">
        <f>1 - CUSTOS!$M$30</f>
        <v>1</v>
      </c>
      <c r="N34" s="26">
        <f>1 - CUSTOS!$M$30</f>
        <v>1</v>
      </c>
      <c r="O34" s="26">
        <f>1 - CUSTOS!$M$30</f>
        <v>1</v>
      </c>
      <c r="P34" s="26">
        <f>1 - CUSTOS!$M$30</f>
        <v>1</v>
      </c>
      <c r="Q34" s="26"/>
      <c r="R34" s="26">
        <f>(1 - CUSTOS!$M$30)*1</f>
        <v>1</v>
      </c>
      <c r="S34" s="26"/>
      <c r="T34" s="26">
        <f>1 - CUSTOS!$M$30</f>
        <v>1</v>
      </c>
      <c r="U34" s="26">
        <f>1 - CUSTOS!$M$30</f>
        <v>1</v>
      </c>
      <c r="V34" s="26">
        <f>1 - CUSTOS!$M$30</f>
        <v>1</v>
      </c>
      <c r="W34" s="26"/>
      <c r="X34" s="26"/>
      <c r="Y34" s="26"/>
      <c r="Z34" s="26">
        <f>1 - CUSTOS!$M$30</f>
        <v>1</v>
      </c>
      <c r="AA34" s="26"/>
      <c r="AB34" s="26"/>
    </row>
    <row r="35" spans="1:28" ht="11.25" customHeight="1" x14ac:dyDescent="0.3">
      <c r="A35" s="103" t="s">
        <v>33</v>
      </c>
      <c r="B35" s="103" t="s">
        <v>71</v>
      </c>
      <c r="C35" s="103" t="s">
        <v>25</v>
      </c>
      <c r="D35" s="103" t="s">
        <v>25</v>
      </c>
      <c r="E35" s="103" t="s">
        <v>25</v>
      </c>
      <c r="F35" s="103" t="s">
        <v>25</v>
      </c>
      <c r="G35" s="29" t="s">
        <v>73</v>
      </c>
      <c r="H35" s="29" t="s">
        <v>72</v>
      </c>
      <c r="I35" s="29">
        <f>'MERCADO TE'!$U$32</f>
        <v>0.86799999999999977</v>
      </c>
      <c r="J35" s="15"/>
      <c r="L35" s="26">
        <f>1 - CUSTOS!$M$31</f>
        <v>1</v>
      </c>
      <c r="M35" s="26">
        <f>1 - CUSTOS!$M$31</f>
        <v>1</v>
      </c>
      <c r="N35" s="26">
        <f>1 - CUSTOS!$M$31</f>
        <v>1</v>
      </c>
      <c r="O35" s="26">
        <f>1 - CUSTOS!$M$31</f>
        <v>1</v>
      </c>
      <c r="P35" s="26">
        <f>1 - CUSTOS!$M$31</f>
        <v>1</v>
      </c>
      <c r="Q35" s="26"/>
      <c r="R35" s="26">
        <f>(1 - CUSTOS!$M$31)*1</f>
        <v>1</v>
      </c>
      <c r="S35" s="26"/>
      <c r="T35" s="26">
        <f>1 - CUSTOS!$M$31</f>
        <v>1</v>
      </c>
      <c r="U35" s="26">
        <f>1 - CUSTOS!$M$31</f>
        <v>1</v>
      </c>
      <c r="V35" s="26">
        <f>1 - CUSTOS!$M$31</f>
        <v>1</v>
      </c>
      <c r="W35" s="26"/>
      <c r="X35" s="26"/>
      <c r="Y35" s="26"/>
      <c r="Z35" s="26">
        <f>1 - CUSTOS!$M$31</f>
        <v>1</v>
      </c>
      <c r="AA35" s="26"/>
      <c r="AB35" s="26"/>
    </row>
    <row r="36" spans="1:28" ht="11.25" customHeight="1" x14ac:dyDescent="0.3">
      <c r="A36" s="103"/>
      <c r="B36" s="103"/>
      <c r="C36" s="103"/>
      <c r="D36" s="103"/>
      <c r="E36" s="103"/>
      <c r="F36" s="103"/>
      <c r="G36" s="29" t="s">
        <v>85</v>
      </c>
      <c r="H36" s="29" t="s">
        <v>72</v>
      </c>
      <c r="I36" s="29">
        <f>'MERCADO TE'!$U$33</f>
        <v>0.57500000000000007</v>
      </c>
      <c r="J36" s="15"/>
      <c r="L36" s="26">
        <f>1 - CUSTOS!$M$31</f>
        <v>1</v>
      </c>
      <c r="M36" s="26">
        <f>1 - CUSTOS!$M$31</f>
        <v>1</v>
      </c>
      <c r="N36" s="26">
        <f>1 - CUSTOS!$M$31</f>
        <v>1</v>
      </c>
      <c r="O36" s="26">
        <f>1 - CUSTOS!$M$31</f>
        <v>1</v>
      </c>
      <c r="P36" s="26">
        <f>1 - CUSTOS!$M$31</f>
        <v>1</v>
      </c>
      <c r="Q36" s="26"/>
      <c r="R36" s="26">
        <f>(1 - CUSTOS!$M$31)*1</f>
        <v>1</v>
      </c>
      <c r="S36" s="26"/>
      <c r="T36" s="26">
        <f>1 - CUSTOS!$M$31</f>
        <v>1</v>
      </c>
      <c r="U36" s="26">
        <f>1 - CUSTOS!$M$31</f>
        <v>1</v>
      </c>
      <c r="V36" s="26">
        <f>1 - CUSTOS!$M$31</f>
        <v>1</v>
      </c>
      <c r="W36" s="26"/>
      <c r="X36" s="26"/>
      <c r="Y36" s="26"/>
      <c r="Z36" s="26">
        <f>1 - CUSTOS!$M$31</f>
        <v>1</v>
      </c>
      <c r="AA36" s="26"/>
      <c r="AB36" s="26"/>
    </row>
    <row r="37" spans="1:28" ht="11.25" customHeight="1" x14ac:dyDescent="0.3">
      <c r="A37" s="103"/>
      <c r="B37" s="103"/>
      <c r="C37" s="103"/>
      <c r="D37" s="103"/>
      <c r="E37" s="103"/>
      <c r="F37" s="103"/>
      <c r="G37" s="29" t="s">
        <v>74</v>
      </c>
      <c r="H37" s="29" t="s">
        <v>72</v>
      </c>
      <c r="I37" s="29">
        <f>'MERCADO TE'!$U$34</f>
        <v>9.5989999999999984</v>
      </c>
      <c r="J37" s="15"/>
      <c r="L37" s="26">
        <f>1 - CUSTOS!$M$31</f>
        <v>1</v>
      </c>
      <c r="M37" s="26">
        <f>1 - CUSTOS!$M$31</f>
        <v>1</v>
      </c>
      <c r="N37" s="26">
        <f>1 - CUSTOS!$M$31</f>
        <v>1</v>
      </c>
      <c r="O37" s="26">
        <f>1 - CUSTOS!$M$31</f>
        <v>1</v>
      </c>
      <c r="P37" s="26">
        <f>1 - CUSTOS!$M$31</f>
        <v>1</v>
      </c>
      <c r="Q37" s="26"/>
      <c r="R37" s="26">
        <f>(1 - CUSTOS!$M$31)*1</f>
        <v>1</v>
      </c>
      <c r="S37" s="26"/>
      <c r="T37" s="26">
        <f>1 - CUSTOS!$M$31</f>
        <v>1</v>
      </c>
      <c r="U37" s="26">
        <f>1 - CUSTOS!$M$31</f>
        <v>1</v>
      </c>
      <c r="V37" s="26">
        <f>1 - CUSTOS!$M$31</f>
        <v>1</v>
      </c>
      <c r="W37" s="26"/>
      <c r="X37" s="26"/>
      <c r="Y37" s="26"/>
      <c r="Z37" s="26">
        <f>1 - CUSTOS!$M$31</f>
        <v>1</v>
      </c>
      <c r="AA37" s="26"/>
      <c r="AB37" s="26"/>
    </row>
    <row r="38" spans="1:28" ht="11.25" customHeight="1" x14ac:dyDescent="0.3">
      <c r="A38" s="103"/>
      <c r="B38" s="28" t="s">
        <v>86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79</v>
      </c>
      <c r="H38" s="29" t="s">
        <v>72</v>
      </c>
      <c r="I38" s="29">
        <f>'MERCADO TE'!$U$35</f>
        <v>3233.996000000001</v>
      </c>
      <c r="J38" s="15"/>
      <c r="L38" s="26">
        <f>1 - CUSTOS!$M$31</f>
        <v>1</v>
      </c>
      <c r="M38" s="26">
        <f>1 - CUSTOS!$M$31</f>
        <v>1</v>
      </c>
      <c r="N38" s="26">
        <f>1 - CUSTOS!$M$31</f>
        <v>1</v>
      </c>
      <c r="O38" s="26">
        <f>1 - CUSTOS!$M$31</f>
        <v>1</v>
      </c>
      <c r="P38" s="26">
        <f>1 - CUSTOS!$M$31</f>
        <v>1</v>
      </c>
      <c r="Q38" s="26"/>
      <c r="R38" s="26">
        <f>(1 - CUSTOS!$M$31)*1</f>
        <v>1</v>
      </c>
      <c r="S38" s="26"/>
      <c r="T38" s="26">
        <f>1 - CUSTOS!$M$31</f>
        <v>1</v>
      </c>
      <c r="U38" s="26">
        <f>1 - CUSTOS!$M$31</f>
        <v>1</v>
      </c>
      <c r="V38" s="26">
        <f>1 - CUSTOS!$M$31</f>
        <v>1</v>
      </c>
      <c r="W38" s="26"/>
      <c r="X38" s="26"/>
      <c r="Y38" s="26"/>
      <c r="Z38" s="26">
        <f>1 - CUSTOS!$M$31</f>
        <v>1</v>
      </c>
      <c r="AA38" s="26"/>
      <c r="AB38" s="26"/>
    </row>
    <row r="39" spans="1:28" ht="11.25" customHeight="1" x14ac:dyDescent="0.3">
      <c r="A39" s="103"/>
      <c r="B39" s="28" t="s">
        <v>87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79</v>
      </c>
      <c r="H39" s="29" t="s">
        <v>72</v>
      </c>
      <c r="I39" s="29">
        <f>'MERCADO TE'!$U$36</f>
        <v>0</v>
      </c>
      <c r="J39" s="15"/>
      <c r="L39" s="26">
        <f>1 - CUSTOS!$M$31</f>
        <v>1</v>
      </c>
      <c r="M39" s="26">
        <f>1 - CUSTOS!$M$31</f>
        <v>1</v>
      </c>
      <c r="N39" s="26">
        <f>1 - CUSTOS!$M$31</f>
        <v>1</v>
      </c>
      <c r="O39" s="26">
        <f>1 - CUSTOS!$M$31</f>
        <v>1</v>
      </c>
      <c r="P39" s="26">
        <f>1 - CUSTOS!$M$31</f>
        <v>1</v>
      </c>
      <c r="Q39" s="26"/>
      <c r="R39" s="26">
        <f>(1 - CUSTOS!$M$31)*1</f>
        <v>1</v>
      </c>
      <c r="S39" s="26"/>
      <c r="T39" s="26">
        <f>1 - CUSTOS!$M$31</f>
        <v>1</v>
      </c>
      <c r="U39" s="26">
        <f>1 - CUSTOS!$M$31</f>
        <v>1</v>
      </c>
      <c r="V39" s="26">
        <f>1 - CUSTOS!$M$31</f>
        <v>1</v>
      </c>
      <c r="W39" s="26"/>
      <c r="X39" s="26"/>
      <c r="Y39" s="26"/>
      <c r="Z39" s="26">
        <f>1 - CUSTOS!$M$31</f>
        <v>1</v>
      </c>
      <c r="AA39" s="26"/>
      <c r="AB39" s="26"/>
    </row>
    <row r="40" spans="1:28" ht="11.25" customHeight="1" x14ac:dyDescent="0.3">
      <c r="A40" s="103" t="s">
        <v>45</v>
      </c>
      <c r="B40" s="103" t="s">
        <v>86</v>
      </c>
      <c r="C40" s="103" t="s">
        <v>46</v>
      </c>
      <c r="D40" s="28" t="s">
        <v>47</v>
      </c>
      <c r="E40" s="28" t="s">
        <v>25</v>
      </c>
      <c r="F40" s="28" t="s">
        <v>25</v>
      </c>
      <c r="G40" s="29" t="s">
        <v>79</v>
      </c>
      <c r="H40" s="29" t="s">
        <v>72</v>
      </c>
      <c r="I40" s="29">
        <f>'MERCADO TE'!$U$37</f>
        <v>1210.0279999999998</v>
      </c>
      <c r="J40" s="15"/>
      <c r="L40" s="26">
        <f>1 - CUSTOS!$M$32</f>
        <v>0.55000000000000004</v>
      </c>
      <c r="M40" s="26">
        <f>1 - CUSTOS!$M$32</f>
        <v>0.55000000000000004</v>
      </c>
      <c r="N40" s="26">
        <f>1 - CUSTOS!$M$32</f>
        <v>0.55000000000000004</v>
      </c>
      <c r="O40" s="26">
        <f>1 - CUSTOS!$M$32</f>
        <v>0.55000000000000004</v>
      </c>
      <c r="P40" s="26">
        <f>1 - CUSTOS!$M$32</f>
        <v>0.55000000000000004</v>
      </c>
      <c r="Q40" s="26"/>
      <c r="R40" s="26">
        <f>(1 - CUSTOS!$M$32)*1</f>
        <v>0.55000000000000004</v>
      </c>
      <c r="S40" s="26"/>
      <c r="T40" s="26">
        <f>1 - CUSTOS!$M$32</f>
        <v>0.55000000000000004</v>
      </c>
      <c r="U40" s="26">
        <f>1 - CUSTOS!$M$32</f>
        <v>0.55000000000000004</v>
      </c>
      <c r="V40" s="26">
        <f>1 - CUSTOS!$M$32</f>
        <v>0.55000000000000004</v>
      </c>
      <c r="W40" s="26"/>
      <c r="X40" s="26"/>
      <c r="Y40" s="26"/>
      <c r="Z40" s="26">
        <f>1 - CUSTOS!$M$32</f>
        <v>0.55000000000000004</v>
      </c>
      <c r="AA40" s="26"/>
      <c r="AB40" s="26"/>
    </row>
    <row r="41" spans="1:28" ht="11.25" customHeight="1" x14ac:dyDescent="0.3">
      <c r="A41" s="103"/>
      <c r="B41" s="103"/>
      <c r="C41" s="103"/>
      <c r="D41" s="29" t="s">
        <v>91</v>
      </c>
      <c r="E41" s="29" t="s">
        <v>25</v>
      </c>
      <c r="F41" s="29" t="s">
        <v>25</v>
      </c>
      <c r="G41" s="29" t="s">
        <v>79</v>
      </c>
      <c r="H41" s="29" t="s">
        <v>72</v>
      </c>
      <c r="I41" s="29">
        <f>'MERCADO TE'!$U$38</f>
        <v>0</v>
      </c>
      <c r="J41" s="15"/>
      <c r="L41" s="26">
        <f>1 - CUSTOS!$M$33</f>
        <v>0.6</v>
      </c>
      <c r="M41" s="26">
        <f>1 - CUSTOS!$M$33</f>
        <v>0.6</v>
      </c>
      <c r="N41" s="26">
        <f>1 - CUSTOS!$M$33</f>
        <v>0.6</v>
      </c>
      <c r="O41" s="26">
        <f>1 - CUSTOS!$M$33</f>
        <v>0.6</v>
      </c>
      <c r="P41" s="26">
        <f>1 - CUSTOS!$M$33</f>
        <v>0.6</v>
      </c>
      <c r="Q41" s="26"/>
      <c r="R41" s="26">
        <f>(1 - CUSTOS!$M$33)*1</f>
        <v>0.6</v>
      </c>
      <c r="S41" s="26"/>
      <c r="T41" s="26">
        <f>1 - CUSTOS!$M$33</f>
        <v>0.6</v>
      </c>
      <c r="U41" s="26">
        <f>1 - CUSTOS!$M$33</f>
        <v>0.6</v>
      </c>
      <c r="V41" s="26">
        <f>1 - CUSTOS!$M$33</f>
        <v>0.6</v>
      </c>
      <c r="W41" s="26"/>
      <c r="X41" s="26"/>
      <c r="Y41" s="26"/>
      <c r="Z41" s="26">
        <f>1 - CUSTOS!$M$33</f>
        <v>0.6</v>
      </c>
      <c r="AA41" s="26"/>
      <c r="AB41" s="26"/>
    </row>
    <row r="43" spans="1:28" ht="11.25" customHeight="1" x14ac:dyDescent="0.3">
      <c r="K43" s="31" t="s">
        <v>546</v>
      </c>
      <c r="L43" s="26">
        <f t="shared" ref="L43:AB43" si="0">SUMPRODUCT($I$5:$I$41,L$5:L$41)</f>
        <v>40759.577400000002</v>
      </c>
      <c r="M43" s="26">
        <f t="shared" si="0"/>
        <v>40759.577400000002</v>
      </c>
      <c r="N43" s="26">
        <f t="shared" si="0"/>
        <v>40759.577400000002</v>
      </c>
      <c r="O43" s="26">
        <f t="shared" si="0"/>
        <v>40759.577400000002</v>
      </c>
      <c r="P43" s="26">
        <f t="shared" si="0"/>
        <v>40759.577400000002</v>
      </c>
      <c r="Q43" s="26">
        <f t="shared" si="0"/>
        <v>0</v>
      </c>
      <c r="R43" s="26">
        <f t="shared" si="0"/>
        <v>40759.577400000002</v>
      </c>
      <c r="S43" s="26">
        <f t="shared" si="0"/>
        <v>0</v>
      </c>
      <c r="T43" s="26">
        <f t="shared" si="0"/>
        <v>40759.577400000002</v>
      </c>
      <c r="U43" s="26">
        <f t="shared" si="0"/>
        <v>40759.577400000002</v>
      </c>
      <c r="V43" s="26">
        <f t="shared" si="0"/>
        <v>40759.577400000002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40759.577400000002</v>
      </c>
      <c r="AA43" s="26">
        <f t="shared" si="0"/>
        <v>0</v>
      </c>
      <c r="AB43" s="26">
        <f t="shared" si="0"/>
        <v>0</v>
      </c>
    </row>
    <row r="44" spans="1:28" ht="11.25" customHeight="1" x14ac:dyDescent="0.3">
      <c r="K44" s="31" t="s">
        <v>465</v>
      </c>
      <c r="L44" s="26">
        <f>CUSTOS!$D$30</f>
        <v>0</v>
      </c>
      <c r="M44" s="26">
        <f>CUSTOS!$D$31</f>
        <v>1190477.8099999998</v>
      </c>
      <c r="N44" s="26">
        <f>CUSTOS!$D$32</f>
        <v>0</v>
      </c>
      <c r="O44" s="26">
        <f>CUSTOS!$D$33</f>
        <v>0</v>
      </c>
      <c r="P44" s="26">
        <f>CUSTOS!$D$34</f>
        <v>-564354.49</v>
      </c>
      <c r="Q44" s="26">
        <f>CUSTOS!$D$35</f>
        <v>626123.31999999983</v>
      </c>
      <c r="R44" s="26">
        <f>CUSTOS!$D$36</f>
        <v>6650911.5490313908</v>
      </c>
      <c r="S44" s="26">
        <f>CUSTOS!$D$37</f>
        <v>6650911.5490313908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268778.42258875689</v>
      </c>
      <c r="AA44" s="26">
        <f>CUSTOS!$D$45</f>
        <v>268778.42258875689</v>
      </c>
      <c r="AB44" s="26">
        <f>CUSTOS!$D$46</f>
        <v>7545813.2916201474</v>
      </c>
    </row>
    <row r="45" spans="1:28" ht="11.25" customHeight="1" x14ac:dyDescent="0.3">
      <c r="K45" s="31" t="s">
        <v>466</v>
      </c>
      <c r="L45" s="26">
        <f>CUSTOS!$E$30</f>
        <v>0</v>
      </c>
      <c r="M45" s="26">
        <f>CUSTOS!$E$31</f>
        <v>140497.53145800333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140497.53145800333</v>
      </c>
      <c r="R45" s="26">
        <f>CUSTOS!$E$36</f>
        <v>95226.414922554279</v>
      </c>
      <c r="S45" s="26">
        <f>CUSTOS!$E$37</f>
        <v>95226.414922554279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3848.3154381137597</v>
      </c>
      <c r="AA45" s="26">
        <f>CUSTOS!$E$45</f>
        <v>3848.3154381137597</v>
      </c>
      <c r="AB45" s="26">
        <f>CUSTOS!$E$46</f>
        <v>239572.26181867137</v>
      </c>
    </row>
    <row r="46" spans="1:28" ht="11.25" customHeight="1" x14ac:dyDescent="0.3">
      <c r="K46" s="31" t="s">
        <v>467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3">
      <c r="K47" s="31" t="s">
        <v>547</v>
      </c>
      <c r="L47" s="26">
        <f>IF(SUMPRODUCT($I$5:$I$41,$L$5:$L$41)&lt;&gt;0,L44/SUMPRODUCT($I$5:$I$41,$L$5:$L$41),0)</f>
        <v>0</v>
      </c>
      <c r="M47" s="26">
        <f>IF(SUMPRODUCT($I$5:$I$41,$M$5:$M$41)&lt;&gt;0,M44/SUMPRODUCT($I$5:$I$41,$M$5:$M$41),0)</f>
        <v>29.207314843259386</v>
      </c>
      <c r="N47" s="26">
        <f>IF(SUMPRODUCT($I$5:$I$41,$N$5:$N$41)&lt;&gt;0,N44/SUMPRODUCT($I$5:$I$41,$N$5:$N$41),0)</f>
        <v>0</v>
      </c>
      <c r="O47" s="26">
        <f>IF(SUMPRODUCT($I$5:$I$41,$O$5:$O$41)&lt;&gt;0,O44/SUMPRODUCT($I$5:$I$41,$O$5:$O$41),0)</f>
        <v>0</v>
      </c>
      <c r="P47" s="26">
        <f>IF(SUMPRODUCT($I$5:$I$41,$P$5:$P$41)&lt;&gt;0,P44/SUMPRODUCT($I$5:$I$41,$P$5:$P$41),0)</f>
        <v>-13.84593575300415</v>
      </c>
      <c r="Q47" s="26"/>
      <c r="R47" s="26">
        <f>IF((CUSTOS!$M$12-CUSTOS!$M$13)&lt;&gt;0,(CUSTOS!$M$12*CUSTOS!$M$14)/(CUSTOS!$M$12-CUSTOS!$M$13),0)</f>
        <v>163.51657470669414</v>
      </c>
      <c r="S47" s="26"/>
      <c r="T47" s="26">
        <f>IF(SUMPRODUCT($I$5:$I$41,$T$5:$T$41)&lt;&gt;0,T44/SUMPRODUCT($I$5:$I$41,$T$5:$T$41),0)</f>
        <v>0</v>
      </c>
      <c r="U47" s="26">
        <f>IF(SUMPRODUCT($I$5:$I$41,$U$5:$U$41)&lt;&gt;0,U44/SUMPRODUCT($I$5:$I$41,$U$5:$U$41),0)</f>
        <v>0</v>
      </c>
      <c r="V47" s="26">
        <f>IF(SUMPRODUCT($I$5:$I$41,$V$5:$V$41)&lt;&gt;0,V44/SUMPRODUCT($I$5:$I$41,$V$5:$V$41),0)</f>
        <v>0</v>
      </c>
      <c r="W47" s="26"/>
      <c r="X47" s="26">
        <f>IF(SUMPRODUCT($I$5:$I$41,$X$5:$X$41)&lt;&gt;0,X44/SUMPRODUCT($I$5:$I$41,$X$5:$X$41),0)</f>
        <v>0</v>
      </c>
      <c r="Y47" s="26"/>
      <c r="Z47" s="26">
        <f>IF(SUMPRODUCT($I$5:$I$41,$Z$5:$Z$41)&lt;&gt;0,Z44/SUMPRODUCT($I$5:$I$41,$Z$5:$Z$41),0)</f>
        <v>6.5942396789608733</v>
      </c>
      <c r="AA47" s="26"/>
      <c r="AB47" s="26"/>
    </row>
    <row r="48" spans="1:28" ht="11.25" customHeight="1" x14ac:dyDescent="0.3">
      <c r="K48" s="31" t="s">
        <v>548</v>
      </c>
      <c r="L48" s="26">
        <f>IF(L43&lt;&gt;0,(L44-L47*0)/(L43-0),0)</f>
        <v>0</v>
      </c>
      <c r="M48" s="26">
        <f>IF(M43&lt;&gt;0,(M44-M47*0)/(M43-0),0)</f>
        <v>29.207314843259386</v>
      </c>
      <c r="N48" s="26">
        <f>IF(N43&lt;&gt;0,(N44-N47*0)/(N43-0),0)</f>
        <v>0</v>
      </c>
      <c r="O48" s="26">
        <f>IF(O43&lt;&gt;0,(O44-O47*0)/(O43-0),0)</f>
        <v>0</v>
      </c>
      <c r="P48" s="26">
        <f>IF(P43&lt;&gt;0,(P44-P47*0)/(P43-0),0)</f>
        <v>-13.84593575300415</v>
      </c>
      <c r="Q48" s="26"/>
      <c r="R48" s="26">
        <f>IF(R43&lt;&gt;0,(R44-R47*0)/(R43-0),0)</f>
        <v>163.17420280788755</v>
      </c>
      <c r="S48" s="26"/>
      <c r="T48" s="26">
        <f>IF(T43&lt;&gt;0,(T44-T47*0)/(T43-0),0)</f>
        <v>0</v>
      </c>
      <c r="U48" s="26">
        <f>IF(U43&lt;&gt;0,(U44-U47*0)/(U43-0),0)</f>
        <v>0</v>
      </c>
      <c r="V48" s="26">
        <f>IF(V43&lt;&gt;0,(V44-V47*0)/(V43-0),0)</f>
        <v>0</v>
      </c>
      <c r="W48" s="26"/>
      <c r="X48" s="26">
        <f>IF(X43&lt;&gt;0,(X44-X47*0)/(X43-0),0)</f>
        <v>0</v>
      </c>
      <c r="Y48" s="26"/>
      <c r="Z48" s="26">
        <f>IF(Z43&lt;&gt;0,(Z44-Z47*0)/(Z43-0),0)</f>
        <v>6.5942396789608733</v>
      </c>
      <c r="AA48" s="26"/>
      <c r="AB48" s="26"/>
    </row>
    <row r="49" spans="11:28" ht="11.25" customHeight="1" x14ac:dyDescent="0.3">
      <c r="K49" s="31" t="s">
        <v>549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C7A4-5E31-4619-A21F-955357379956}">
  <dimension ref="A1:AB49"/>
  <sheetViews>
    <sheetView showGridLines="0" topLeftCell="L1" workbookViewId="0">
      <selection activeCell="AB43" sqref="AB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20" style="9" bestFit="1" customWidth="1"/>
    <col min="12" max="12" width="7.88671875" style="9" bestFit="1" customWidth="1"/>
    <col min="13" max="13" width="10" style="9" bestFit="1" customWidth="1"/>
    <col min="14" max="14" width="7.88671875" style="9" bestFit="1" customWidth="1"/>
    <col min="15" max="15" width="11.109375" style="9" bestFit="1" customWidth="1"/>
    <col min="16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102" t="s">
        <v>62</v>
      </c>
      <c r="B1" s="102" t="s">
        <v>63</v>
      </c>
      <c r="C1" s="102" t="s">
        <v>64</v>
      </c>
      <c r="D1" s="102" t="s">
        <v>65</v>
      </c>
      <c r="E1" s="102" t="s">
        <v>66</v>
      </c>
      <c r="F1" s="102" t="s">
        <v>15</v>
      </c>
      <c r="G1" s="102" t="s">
        <v>68</v>
      </c>
      <c r="H1" s="102" t="s">
        <v>69</v>
      </c>
      <c r="I1" s="102" t="s">
        <v>524</v>
      </c>
      <c r="J1" s="85"/>
      <c r="L1" s="100" t="s">
        <v>550</v>
      </c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 spans="1:28" ht="11.25" customHeight="1" x14ac:dyDescent="0.3">
      <c r="A2" s="102"/>
      <c r="B2" s="102"/>
      <c r="C2" s="102"/>
      <c r="D2" s="102"/>
      <c r="E2" s="102"/>
      <c r="F2" s="102"/>
      <c r="G2" s="102"/>
      <c r="H2" s="102"/>
      <c r="I2" s="102"/>
      <c r="J2" s="85"/>
      <c r="L2" s="100" t="s">
        <v>451</v>
      </c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</row>
    <row r="3" spans="1:28" ht="11.25" customHeight="1" x14ac:dyDescent="0.3">
      <c r="A3" s="102"/>
      <c r="B3" s="102"/>
      <c r="C3" s="102"/>
      <c r="D3" s="102"/>
      <c r="E3" s="102"/>
      <c r="F3" s="102"/>
      <c r="G3" s="102"/>
      <c r="H3" s="102"/>
      <c r="I3" s="102"/>
      <c r="J3" s="85"/>
      <c r="L3" s="100" t="s">
        <v>424</v>
      </c>
      <c r="M3" s="100"/>
      <c r="N3" s="100"/>
      <c r="O3" s="100"/>
      <c r="P3" s="100"/>
      <c r="Q3" s="100"/>
      <c r="R3" s="100" t="s">
        <v>455</v>
      </c>
      <c r="S3" s="100"/>
      <c r="T3" s="100" t="s">
        <v>433</v>
      </c>
      <c r="U3" s="100"/>
      <c r="V3" s="100"/>
      <c r="W3" s="100"/>
      <c r="X3" s="100" t="s">
        <v>443</v>
      </c>
      <c r="Y3" s="100"/>
      <c r="Z3" s="100" t="s">
        <v>446</v>
      </c>
      <c r="AA3" s="100"/>
      <c r="AB3" s="100" t="s">
        <v>432</v>
      </c>
    </row>
    <row r="4" spans="1:28" ht="11.25" customHeight="1" x14ac:dyDescent="0.3">
      <c r="A4" s="102"/>
      <c r="B4" s="102"/>
      <c r="C4" s="102"/>
      <c r="D4" s="102"/>
      <c r="E4" s="102"/>
      <c r="F4" s="102"/>
      <c r="G4" s="102"/>
      <c r="H4" s="102"/>
      <c r="I4" s="102"/>
      <c r="J4" s="85"/>
      <c r="L4" s="30" t="s">
        <v>426</v>
      </c>
      <c r="M4" s="30" t="s">
        <v>452</v>
      </c>
      <c r="N4" s="30" t="s">
        <v>453</v>
      </c>
      <c r="O4" s="30" t="s">
        <v>512</v>
      </c>
      <c r="P4" s="30" t="s">
        <v>454</v>
      </c>
      <c r="Q4" s="30" t="s">
        <v>432</v>
      </c>
      <c r="R4" s="30" t="s">
        <v>456</v>
      </c>
      <c r="S4" s="30" t="s">
        <v>432</v>
      </c>
      <c r="T4" s="30" t="s">
        <v>457</v>
      </c>
      <c r="U4" s="30" t="s">
        <v>458</v>
      </c>
      <c r="V4" s="30" t="s">
        <v>459</v>
      </c>
      <c r="W4" s="30" t="s">
        <v>432</v>
      </c>
      <c r="X4" s="30" t="s">
        <v>444</v>
      </c>
      <c r="Y4" s="30" t="s">
        <v>432</v>
      </c>
      <c r="Z4" s="30" t="s">
        <v>460</v>
      </c>
      <c r="AA4" s="30" t="s">
        <v>432</v>
      </c>
      <c r="AB4" s="101"/>
    </row>
    <row r="5" spans="1:28" ht="11.25" customHeight="1" x14ac:dyDescent="0.3">
      <c r="A5" s="103" t="s">
        <v>35</v>
      </c>
      <c r="B5" s="103" t="s">
        <v>71</v>
      </c>
      <c r="C5" s="103" t="s">
        <v>25</v>
      </c>
      <c r="D5" s="103" t="s">
        <v>25</v>
      </c>
      <c r="E5" s="103" t="s">
        <v>25</v>
      </c>
      <c r="F5" s="103" t="s">
        <v>25</v>
      </c>
      <c r="G5" s="29" t="s">
        <v>73</v>
      </c>
      <c r="H5" s="29" t="s">
        <v>72</v>
      </c>
      <c r="I5" s="29">
        <f>'MERCADO TE'!$U$2</f>
        <v>1557.202</v>
      </c>
      <c r="J5" s="15"/>
      <c r="L5" s="26">
        <f>'TR TE'!$L$5*'TR TE'!$L$48</f>
        <v>0</v>
      </c>
      <c r="M5" s="26">
        <f>'TR TE'!$M$5*'TR TE'!$M$48</f>
        <v>29.207314843259386</v>
      </c>
      <c r="N5" s="26">
        <f>'TR TE'!$N$5*'TR TE'!$N$48</f>
        <v>0</v>
      </c>
      <c r="O5" s="26">
        <f>'TR TE'!$O$5*'TR TE'!$O$48</f>
        <v>0</v>
      </c>
      <c r="P5" s="26">
        <f>'TR TE'!$P$5*'TR TE'!$P$48</f>
        <v>-13.84593575300415</v>
      </c>
      <c r="Q5" s="26">
        <f>SUM($L$5:$P$5)</f>
        <v>15.361379090255236</v>
      </c>
      <c r="R5" s="26">
        <f>'TR TE'!$R$5*'TR TE'!$R$48</f>
        <v>163.17420280788755</v>
      </c>
      <c r="S5" s="26">
        <f>SUM($R$5:$R$5)</f>
        <v>163.17420280788755</v>
      </c>
      <c r="T5" s="26">
        <f>'TR TE'!$T$5*'TR TE'!$T$48</f>
        <v>0</v>
      </c>
      <c r="U5" s="26">
        <f>'TR TE'!$U$5*'TR TE'!$U$48</f>
        <v>0</v>
      </c>
      <c r="V5" s="26">
        <f>'TR TE'!$V$5*'TR TE'!$V$48</f>
        <v>0</v>
      </c>
      <c r="W5" s="26">
        <f>SUM($T$5:$V$5)</f>
        <v>0</v>
      </c>
      <c r="X5" s="26"/>
      <c r="Y5" s="26">
        <f>SUM($X$5:$X$5)</f>
        <v>0</v>
      </c>
      <c r="Z5" s="26">
        <f>'TR TE'!$Z$5*'TR TE'!$Z$48</f>
        <v>6.5942396789608733</v>
      </c>
      <c r="AA5" s="26">
        <f>SUM($Z$5:$Z$5)</f>
        <v>6.5942396789608733</v>
      </c>
      <c r="AB5" s="26">
        <f>SUMIF($L$4:$AA$4,"SUBTOTAL",$L$5:$AA$5)</f>
        <v>185.12982157710366</v>
      </c>
    </row>
    <row r="6" spans="1:28" ht="11.25" customHeight="1" x14ac:dyDescent="0.3">
      <c r="A6" s="103"/>
      <c r="B6" s="103"/>
      <c r="C6" s="103"/>
      <c r="D6" s="103"/>
      <c r="E6" s="103"/>
      <c r="F6" s="103"/>
      <c r="G6" s="29" t="s">
        <v>74</v>
      </c>
      <c r="H6" s="29" t="s">
        <v>72</v>
      </c>
      <c r="I6" s="29">
        <f>'MERCADO TE'!$U$3</f>
        <v>23427.474000000002</v>
      </c>
      <c r="J6" s="15"/>
      <c r="L6" s="26">
        <f>'TR TE'!$L$6*'TR TE'!$L$48</f>
        <v>0</v>
      </c>
      <c r="M6" s="26">
        <f>'TR TE'!$M$6*'TR TE'!$M$48</f>
        <v>29.207314843259386</v>
      </c>
      <c r="N6" s="26">
        <f>'TR TE'!$N$6*'TR TE'!$N$48</f>
        <v>0</v>
      </c>
      <c r="O6" s="26">
        <f>'TR TE'!$O$6*'TR TE'!$O$48</f>
        <v>0</v>
      </c>
      <c r="P6" s="26">
        <f>'TR TE'!$P$6*'TR TE'!$P$48</f>
        <v>-13.84593575300415</v>
      </c>
      <c r="Q6" s="26">
        <f>SUM($L$6:$P$6)</f>
        <v>15.361379090255236</v>
      </c>
      <c r="R6" s="26">
        <f>'TR TE'!$R$6*'TR TE'!$R$48</f>
        <v>163.17420280788755</v>
      </c>
      <c r="S6" s="26">
        <f>SUM($R$6:$R$6)</f>
        <v>163.17420280788755</v>
      </c>
      <c r="T6" s="26">
        <f>'TR TE'!$T$6*'TR TE'!$T$48</f>
        <v>0</v>
      </c>
      <c r="U6" s="26">
        <f>'TR TE'!$U$6*'TR TE'!$U$48</f>
        <v>0</v>
      </c>
      <c r="V6" s="26">
        <f>'TR TE'!$V$6*'TR TE'!$V$48</f>
        <v>0</v>
      </c>
      <c r="W6" s="26">
        <f>SUM($T$6:$V$6)</f>
        <v>0</v>
      </c>
      <c r="X6" s="26"/>
      <c r="Y6" s="26">
        <f>SUM($X$6:$X$6)</f>
        <v>0</v>
      </c>
      <c r="Z6" s="26">
        <f>'TR TE'!$Z$6*'TR TE'!$Z$48</f>
        <v>6.5942396789608733</v>
      </c>
      <c r="AA6" s="26">
        <f>SUM($Z$6:$Z$6)</f>
        <v>6.5942396789608733</v>
      </c>
      <c r="AB6" s="26">
        <f>SUMIF($L$4:$AA$4,"SUBTOTAL",$L$6:$AA$6)</f>
        <v>185.12982157710366</v>
      </c>
    </row>
    <row r="7" spans="1:28" ht="11.25" customHeight="1" x14ac:dyDescent="0.3">
      <c r="A7" s="103" t="s">
        <v>22</v>
      </c>
      <c r="B7" s="103" t="s">
        <v>71</v>
      </c>
      <c r="C7" s="103" t="s">
        <v>24</v>
      </c>
      <c r="D7" s="103" t="s">
        <v>24</v>
      </c>
      <c r="E7" s="103" t="s">
        <v>25</v>
      </c>
      <c r="F7" s="103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'TR TE'!$L$7*'TR TE'!$L$48</f>
        <v>0</v>
      </c>
      <c r="M7" s="26">
        <f>'TR TE'!$M$7*'TR TE'!$M$48</f>
        <v>29.207314843259386</v>
      </c>
      <c r="N7" s="26">
        <f>'TR TE'!$N$7*'TR TE'!$N$48</f>
        <v>0</v>
      </c>
      <c r="O7" s="26">
        <f>'TR TE'!$O$7*'TR TE'!$O$48</f>
        <v>0</v>
      </c>
      <c r="P7" s="26">
        <f>'TR TE'!$P$7*'TR TE'!$P$48</f>
        <v>-13.84593575300415</v>
      </c>
      <c r="Q7" s="26">
        <f>SUM($L$7:$P$7)</f>
        <v>15.361379090255236</v>
      </c>
      <c r="R7" s="26">
        <f>'TR TE'!$R$7*'TR TE'!$R$48</f>
        <v>163.17420280788755</v>
      </c>
      <c r="S7" s="26">
        <f>SUM($R$7:$R$7)</f>
        <v>163.17420280788755</v>
      </c>
      <c r="T7" s="26">
        <f>'TR TE'!$T$7*'TR TE'!$T$48</f>
        <v>0</v>
      </c>
      <c r="U7" s="26">
        <f>'TR TE'!$U$7*'TR TE'!$U$48</f>
        <v>0</v>
      </c>
      <c r="V7" s="26">
        <f>'TR TE'!$V$7*'TR TE'!$V$48</f>
        <v>0</v>
      </c>
      <c r="W7" s="26">
        <f>SUM($T$7:$V$7)</f>
        <v>0</v>
      </c>
      <c r="X7" s="26"/>
      <c r="Y7" s="26">
        <f>SUM($X$7:$X$7)</f>
        <v>0</v>
      </c>
      <c r="Z7" s="26">
        <f>'TR TE'!$Z$7*'TR TE'!$Z$48</f>
        <v>6.5942396789608733</v>
      </c>
      <c r="AA7" s="26">
        <f>SUM($Z$7:$Z$7)</f>
        <v>6.5942396789608733</v>
      </c>
      <c r="AB7" s="26">
        <f>SUMIF($L$4:$AA$4,"SUBTOTAL",$L$7:$AA$7)</f>
        <v>185.12982157710366</v>
      </c>
    </row>
    <row r="8" spans="1:28" ht="11.25" customHeight="1" x14ac:dyDescent="0.3">
      <c r="A8" s="103"/>
      <c r="B8" s="103"/>
      <c r="C8" s="103"/>
      <c r="D8" s="103"/>
      <c r="E8" s="103"/>
      <c r="F8" s="103"/>
      <c r="G8" s="29" t="s">
        <v>85</v>
      </c>
      <c r="H8" s="29" t="s">
        <v>72</v>
      </c>
      <c r="I8" s="29">
        <f>'MERCADO TE'!$U$5</f>
        <v>0</v>
      </c>
      <c r="J8" s="15"/>
      <c r="L8" s="26">
        <f>'TR TE'!$L$8*'TR TE'!$L$48</f>
        <v>0</v>
      </c>
      <c r="M8" s="26">
        <f>'TR TE'!$M$8*'TR TE'!$M$48</f>
        <v>29.207314843259386</v>
      </c>
      <c r="N8" s="26">
        <f>'TR TE'!$N$8*'TR TE'!$N$48</f>
        <v>0</v>
      </c>
      <c r="O8" s="26">
        <f>'TR TE'!$O$8*'TR TE'!$O$48</f>
        <v>0</v>
      </c>
      <c r="P8" s="26">
        <f>'TR TE'!$P$8*'TR TE'!$P$48</f>
        <v>-13.84593575300415</v>
      </c>
      <c r="Q8" s="26">
        <f>SUM($L$8:$P$8)</f>
        <v>15.361379090255236</v>
      </c>
      <c r="R8" s="26">
        <f>'TR TE'!$R$8*'TR TE'!$R$48</f>
        <v>163.17420280788755</v>
      </c>
      <c r="S8" s="26">
        <f>SUM($R$8:$R$8)</f>
        <v>163.17420280788755</v>
      </c>
      <c r="T8" s="26">
        <f>'TR TE'!$T$8*'TR TE'!$T$48</f>
        <v>0</v>
      </c>
      <c r="U8" s="26">
        <f>'TR TE'!$U$8*'TR TE'!$U$48</f>
        <v>0</v>
      </c>
      <c r="V8" s="26">
        <f>'TR TE'!$V$8*'TR TE'!$V$48</f>
        <v>0</v>
      </c>
      <c r="W8" s="26">
        <f>SUM($T$8:$V$8)</f>
        <v>0</v>
      </c>
      <c r="X8" s="26"/>
      <c r="Y8" s="26">
        <f>SUM($X$8:$X$8)</f>
        <v>0</v>
      </c>
      <c r="Z8" s="26">
        <f>'TR TE'!$Z$8*'TR TE'!$Z$48</f>
        <v>6.5942396789608733</v>
      </c>
      <c r="AA8" s="26">
        <f>SUM($Z$8:$Z$8)</f>
        <v>6.5942396789608733</v>
      </c>
      <c r="AB8" s="26">
        <f>SUMIF($L$4:$AA$4,"SUBTOTAL",$L$8:$AA$8)</f>
        <v>185.12982157710366</v>
      </c>
    </row>
    <row r="9" spans="1:28" ht="11.25" customHeight="1" x14ac:dyDescent="0.3">
      <c r="A9" s="103"/>
      <c r="B9" s="103"/>
      <c r="C9" s="103"/>
      <c r="D9" s="103"/>
      <c r="E9" s="103"/>
      <c r="F9" s="103"/>
      <c r="G9" s="29" t="s">
        <v>74</v>
      </c>
      <c r="H9" s="29" t="s">
        <v>72</v>
      </c>
      <c r="I9" s="29">
        <f>'MERCADO TE'!$U$6</f>
        <v>0</v>
      </c>
      <c r="J9" s="15"/>
      <c r="L9" s="26">
        <f>'TR TE'!$L$9*'TR TE'!$L$48</f>
        <v>0</v>
      </c>
      <c r="M9" s="26">
        <f>'TR TE'!$M$9*'TR TE'!$M$48</f>
        <v>29.207314843259386</v>
      </c>
      <c r="N9" s="26">
        <f>'TR TE'!$N$9*'TR TE'!$N$48</f>
        <v>0</v>
      </c>
      <c r="O9" s="26">
        <f>'TR TE'!$O$9*'TR TE'!$O$48</f>
        <v>0</v>
      </c>
      <c r="P9" s="26">
        <f>'TR TE'!$P$9*'TR TE'!$P$48</f>
        <v>-13.84593575300415</v>
      </c>
      <c r="Q9" s="26">
        <f>SUM($L$9:$P$9)</f>
        <v>15.361379090255236</v>
      </c>
      <c r="R9" s="26">
        <f>'TR TE'!$R$9*'TR TE'!$R$48</f>
        <v>163.17420280788755</v>
      </c>
      <c r="S9" s="26">
        <f>SUM($R$9:$R$9)</f>
        <v>163.17420280788755</v>
      </c>
      <c r="T9" s="26">
        <f>'TR TE'!$T$9*'TR TE'!$T$48</f>
        <v>0</v>
      </c>
      <c r="U9" s="26">
        <f>'TR TE'!$U$9*'TR TE'!$U$48</f>
        <v>0</v>
      </c>
      <c r="V9" s="26">
        <f>'TR TE'!$V$9*'TR TE'!$V$48</f>
        <v>0</v>
      </c>
      <c r="W9" s="26">
        <f>SUM($T$9:$V$9)</f>
        <v>0</v>
      </c>
      <c r="X9" s="26"/>
      <c r="Y9" s="26">
        <f>SUM($X$9:$X$9)</f>
        <v>0</v>
      </c>
      <c r="Z9" s="26">
        <f>'TR TE'!$Z$9*'TR TE'!$Z$48</f>
        <v>6.5942396789608733</v>
      </c>
      <c r="AA9" s="26">
        <f>SUM($Z$9:$Z$9)</f>
        <v>6.5942396789608733</v>
      </c>
      <c r="AB9" s="26">
        <f>SUMIF($L$4:$AA$4,"SUBTOTAL",$L$9:$AA$9)</f>
        <v>185.12982157710366</v>
      </c>
    </row>
    <row r="10" spans="1:28" ht="11.25" customHeight="1" x14ac:dyDescent="0.3">
      <c r="A10" s="103"/>
      <c r="B10" s="103" t="s">
        <v>86</v>
      </c>
      <c r="C10" s="103" t="s">
        <v>24</v>
      </c>
      <c r="D10" s="28" t="s">
        <v>24</v>
      </c>
      <c r="E10" s="28" t="s">
        <v>25</v>
      </c>
      <c r="F10" s="28" t="s">
        <v>25</v>
      </c>
      <c r="G10" s="29" t="s">
        <v>79</v>
      </c>
      <c r="H10" s="29" t="s">
        <v>72</v>
      </c>
      <c r="I10" s="29">
        <f>'MERCADO TE'!$U$7</f>
        <v>5913.8329999999996</v>
      </c>
      <c r="J10" s="15"/>
      <c r="L10" s="26">
        <f>'TR TE'!$L$10*'TR TE'!$L$48</f>
        <v>0</v>
      </c>
      <c r="M10" s="26">
        <f>'TR TE'!$M$10*'TR TE'!$M$48</f>
        <v>29.207314843259386</v>
      </c>
      <c r="N10" s="26">
        <f>'TR TE'!$N$10*'TR TE'!$N$48</f>
        <v>0</v>
      </c>
      <c r="O10" s="26">
        <f>'TR TE'!$O$10*'TR TE'!$O$48</f>
        <v>0</v>
      </c>
      <c r="P10" s="26">
        <f>'TR TE'!$P$10*'TR TE'!$P$48</f>
        <v>-13.84593575300415</v>
      </c>
      <c r="Q10" s="26">
        <f>SUM($L$10:$P$10)</f>
        <v>15.361379090255236</v>
      </c>
      <c r="R10" s="26">
        <f>'TR TE'!$R$10*'TR TE'!$R$48</f>
        <v>163.17420280788755</v>
      </c>
      <c r="S10" s="26">
        <f>SUM($R$10:$R$10)</f>
        <v>163.17420280788755</v>
      </c>
      <c r="T10" s="26">
        <f>'TR TE'!$T$10*'TR TE'!$T$48</f>
        <v>0</v>
      </c>
      <c r="U10" s="26">
        <f>'TR TE'!$U$10*'TR TE'!$U$48</f>
        <v>0</v>
      </c>
      <c r="V10" s="26">
        <f>'TR TE'!$V$10*'TR TE'!$V$48</f>
        <v>0</v>
      </c>
      <c r="W10" s="26">
        <f>SUM($T$10:$V$10)</f>
        <v>0</v>
      </c>
      <c r="X10" s="26"/>
      <c r="Y10" s="26">
        <f>SUM($X$10:$X$10)</f>
        <v>0</v>
      </c>
      <c r="Z10" s="26">
        <f>'TR TE'!$Z$10*'TR TE'!$Z$48</f>
        <v>6.5942396789608733</v>
      </c>
      <c r="AA10" s="26">
        <f>SUM($Z$10:$Z$10)</f>
        <v>6.5942396789608733</v>
      </c>
      <c r="AB10" s="26">
        <f>SUMIF($L$4:$AA$4,"SUBTOTAL",$L$10:$AA$10)</f>
        <v>185.12982157710366</v>
      </c>
    </row>
    <row r="11" spans="1:28" ht="11.25" customHeight="1" x14ac:dyDescent="0.3">
      <c r="A11" s="103"/>
      <c r="B11" s="103"/>
      <c r="C11" s="103"/>
      <c r="D11" s="28" t="s">
        <v>29</v>
      </c>
      <c r="E11" s="28" t="s">
        <v>25</v>
      </c>
      <c r="F11" s="28" t="s">
        <v>25</v>
      </c>
      <c r="G11" s="29" t="s">
        <v>79</v>
      </c>
      <c r="H11" s="29" t="s">
        <v>72</v>
      </c>
      <c r="I11" s="29">
        <f>'MERCADO TE'!$U$8</f>
        <v>78.629000000000005</v>
      </c>
      <c r="J11" s="15"/>
      <c r="L11" s="26">
        <f>'TR TE'!$L$11*'TR TE'!$L$48</f>
        <v>0</v>
      </c>
      <c r="M11" s="26">
        <f>'TR TE'!$M$11*'TR TE'!$M$48</f>
        <v>29.207314843259386</v>
      </c>
      <c r="N11" s="26">
        <f>'TR TE'!$N$11*'TR TE'!$N$48</f>
        <v>0</v>
      </c>
      <c r="O11" s="26">
        <f>'TR TE'!$O$11*'TR TE'!$O$48</f>
        <v>0</v>
      </c>
      <c r="P11" s="26">
        <f>'TR TE'!$P$11*'TR TE'!$P$48</f>
        <v>-13.84593575300415</v>
      </c>
      <c r="Q11" s="26">
        <f>SUM($L$11:$P$11)</f>
        <v>15.361379090255236</v>
      </c>
      <c r="R11" s="26">
        <f>'TR TE'!$R$11*'TR TE'!$R$48</f>
        <v>163.17420280788755</v>
      </c>
      <c r="S11" s="26">
        <f>SUM($R$11:$R$11)</f>
        <v>163.17420280788755</v>
      </c>
      <c r="T11" s="26">
        <f>'TR TE'!$T$11*'TR TE'!$T$48</f>
        <v>0</v>
      </c>
      <c r="U11" s="26">
        <f>'TR TE'!$U$11*'TR TE'!$U$48</f>
        <v>0</v>
      </c>
      <c r="V11" s="26">
        <f>'TR TE'!$V$11*'TR TE'!$V$48</f>
        <v>0</v>
      </c>
      <c r="W11" s="26">
        <f>SUM($T$11:$V$11)</f>
        <v>0</v>
      </c>
      <c r="X11" s="26"/>
      <c r="Y11" s="26">
        <f>SUM($X$11:$X$11)</f>
        <v>0</v>
      </c>
      <c r="Z11" s="26">
        <f>'TR TE'!$Z$11*'TR TE'!$Z$48</f>
        <v>6.5942396789608733</v>
      </c>
      <c r="AA11" s="26">
        <f>SUM($Z$11:$Z$11)</f>
        <v>6.5942396789608733</v>
      </c>
      <c r="AB11" s="26">
        <f>SUMIF($L$4:$AA$4,"SUBTOTAL",$L$11:$AA$11)</f>
        <v>185.12982157710366</v>
      </c>
    </row>
    <row r="12" spans="1:28" ht="11.25" customHeight="1" x14ac:dyDescent="0.3">
      <c r="A12" s="103"/>
      <c r="B12" s="103"/>
      <c r="C12" s="103"/>
      <c r="D12" s="28" t="s">
        <v>30</v>
      </c>
      <c r="E12" s="28" t="s">
        <v>25</v>
      </c>
      <c r="F12" s="28" t="s">
        <v>25</v>
      </c>
      <c r="G12" s="29" t="s">
        <v>79</v>
      </c>
      <c r="H12" s="29" t="s">
        <v>72</v>
      </c>
      <c r="I12" s="29">
        <f>'MERCADO TE'!$U$9</f>
        <v>159.86900000000003</v>
      </c>
      <c r="J12" s="15"/>
      <c r="L12" s="26">
        <f>'TR TE'!$L$12*'TR TE'!$L$48</f>
        <v>0</v>
      </c>
      <c r="M12" s="26">
        <f>'TR TE'!$M$12*'TR TE'!$M$48</f>
        <v>29.207314843259386</v>
      </c>
      <c r="N12" s="26">
        <f>'TR TE'!$N$12*'TR TE'!$N$48</f>
        <v>0</v>
      </c>
      <c r="O12" s="26">
        <f>'TR TE'!$O$12*'TR TE'!$O$48</f>
        <v>0</v>
      </c>
      <c r="P12" s="26">
        <f>'TR TE'!$P$12*'TR TE'!$P$48</f>
        <v>-13.84593575300415</v>
      </c>
      <c r="Q12" s="26">
        <f>SUM($L$12:$P$12)</f>
        <v>15.361379090255236</v>
      </c>
      <c r="R12" s="26">
        <f>'TR TE'!$R$12*'TR TE'!$R$48</f>
        <v>163.17420280788755</v>
      </c>
      <c r="S12" s="26">
        <f>SUM($R$12:$R$12)</f>
        <v>163.17420280788755</v>
      </c>
      <c r="T12" s="26">
        <f>'TR TE'!$T$12*'TR TE'!$T$48</f>
        <v>0</v>
      </c>
      <c r="U12" s="26">
        <f>'TR TE'!$U$12*'TR TE'!$U$48</f>
        <v>0</v>
      </c>
      <c r="V12" s="26">
        <f>'TR TE'!$V$12*'TR TE'!$V$48</f>
        <v>0</v>
      </c>
      <c r="W12" s="26">
        <f>SUM($T$12:$V$12)</f>
        <v>0</v>
      </c>
      <c r="X12" s="26"/>
      <c r="Y12" s="26">
        <f>SUM($X$12:$X$12)</f>
        <v>0</v>
      </c>
      <c r="Z12" s="26">
        <f>'TR TE'!$Z$12*'TR TE'!$Z$48</f>
        <v>6.5942396789608733</v>
      </c>
      <c r="AA12" s="26">
        <f>SUM($Z$12:$Z$12)</f>
        <v>6.5942396789608733</v>
      </c>
      <c r="AB12" s="26">
        <f>SUMIF($L$4:$AA$4,"SUBTOTAL",$L$12:$AA$12)</f>
        <v>185.12982157710366</v>
      </c>
    </row>
    <row r="13" spans="1:28" ht="11.25" customHeight="1" x14ac:dyDescent="0.3">
      <c r="A13" s="103"/>
      <c r="B13" s="103"/>
      <c r="C13" s="103"/>
      <c r="D13" s="28" t="s">
        <v>31</v>
      </c>
      <c r="E13" s="28" t="s">
        <v>25</v>
      </c>
      <c r="F13" s="28" t="s">
        <v>25</v>
      </c>
      <c r="G13" s="29" t="s">
        <v>79</v>
      </c>
      <c r="H13" s="29" t="s">
        <v>72</v>
      </c>
      <c r="I13" s="29">
        <f>'MERCADO TE'!$U$10</f>
        <v>149.93899999999999</v>
      </c>
      <c r="J13" s="15"/>
      <c r="L13" s="26">
        <f>'TR TE'!$L$13*'TR TE'!$L$48</f>
        <v>0</v>
      </c>
      <c r="M13" s="26">
        <f>'TR TE'!$M$13*'TR TE'!$M$48</f>
        <v>29.207314843259386</v>
      </c>
      <c r="N13" s="26">
        <f>'TR TE'!$N$13*'TR TE'!$N$48</f>
        <v>0</v>
      </c>
      <c r="O13" s="26">
        <f>'TR TE'!$O$13*'TR TE'!$O$48</f>
        <v>0</v>
      </c>
      <c r="P13" s="26">
        <f>'TR TE'!$P$13*'TR TE'!$P$48</f>
        <v>-13.84593575300415</v>
      </c>
      <c r="Q13" s="26">
        <f>SUM($L$13:$P$13)</f>
        <v>15.361379090255236</v>
      </c>
      <c r="R13" s="26">
        <f>'TR TE'!$R$13*'TR TE'!$R$48</f>
        <v>163.17420280788755</v>
      </c>
      <c r="S13" s="26">
        <f>SUM($R$13:$R$13)</f>
        <v>163.17420280788755</v>
      </c>
      <c r="T13" s="26">
        <f>'TR TE'!$T$13*'TR TE'!$T$48</f>
        <v>0</v>
      </c>
      <c r="U13" s="26">
        <f>'TR TE'!$U$13*'TR TE'!$U$48</f>
        <v>0</v>
      </c>
      <c r="V13" s="26">
        <f>'TR TE'!$V$13*'TR TE'!$V$48</f>
        <v>0</v>
      </c>
      <c r="W13" s="26">
        <f>SUM($T$13:$V$13)</f>
        <v>0</v>
      </c>
      <c r="X13" s="26"/>
      <c r="Y13" s="26">
        <f>SUM($X$13:$X$13)</f>
        <v>0</v>
      </c>
      <c r="Z13" s="26">
        <f>'TR TE'!$Z$13*'TR TE'!$Z$48</f>
        <v>6.5942396789608733</v>
      </c>
      <c r="AA13" s="26">
        <f>SUM($Z$13:$Z$13)</f>
        <v>6.5942396789608733</v>
      </c>
      <c r="AB13" s="26">
        <f>SUMIF($L$4:$AA$4,"SUBTOTAL",$L$13:$AA$13)</f>
        <v>185.12982157710366</v>
      </c>
    </row>
    <row r="14" spans="1:28" ht="11.25" customHeight="1" x14ac:dyDescent="0.3">
      <c r="A14" s="103"/>
      <c r="B14" s="103"/>
      <c r="C14" s="103"/>
      <c r="D14" s="28" t="s">
        <v>32</v>
      </c>
      <c r="E14" s="28" t="s">
        <v>25</v>
      </c>
      <c r="F14" s="28" t="s">
        <v>25</v>
      </c>
      <c r="G14" s="29" t="s">
        <v>79</v>
      </c>
      <c r="H14" s="29" t="s">
        <v>72</v>
      </c>
      <c r="I14" s="29">
        <f>'MERCADO TE'!$U$11</f>
        <v>50.329000000000001</v>
      </c>
      <c r="J14" s="15"/>
      <c r="L14" s="26">
        <f>'TR TE'!$L$14*'TR TE'!$L$48</f>
        <v>0</v>
      </c>
      <c r="M14" s="26">
        <f>'TR TE'!$M$14*'TR TE'!$M$48</f>
        <v>29.207314843259386</v>
      </c>
      <c r="N14" s="26">
        <f>'TR TE'!$N$14*'TR TE'!$N$48</f>
        <v>0</v>
      </c>
      <c r="O14" s="26">
        <f>'TR TE'!$O$14*'TR TE'!$O$48</f>
        <v>0</v>
      </c>
      <c r="P14" s="26">
        <f>'TR TE'!$P$14*'TR TE'!$P$48</f>
        <v>-13.84593575300415</v>
      </c>
      <c r="Q14" s="26">
        <f>SUM($L$14:$P$14)</f>
        <v>15.361379090255236</v>
      </c>
      <c r="R14" s="26">
        <f>'TR TE'!$R$14*'TR TE'!$R$48</f>
        <v>163.17420280788755</v>
      </c>
      <c r="S14" s="26">
        <f>SUM($R$14:$R$14)</f>
        <v>163.17420280788755</v>
      </c>
      <c r="T14" s="26">
        <f>'TR TE'!$T$14*'TR TE'!$T$48</f>
        <v>0</v>
      </c>
      <c r="U14" s="26">
        <f>'TR TE'!$U$14*'TR TE'!$U$48</f>
        <v>0</v>
      </c>
      <c r="V14" s="26">
        <f>'TR TE'!$V$14*'TR TE'!$V$48</f>
        <v>0</v>
      </c>
      <c r="W14" s="26">
        <f>SUM($T$14:$V$14)</f>
        <v>0</v>
      </c>
      <c r="X14" s="26"/>
      <c r="Y14" s="26">
        <f>SUM($X$14:$X$14)</f>
        <v>0</v>
      </c>
      <c r="Z14" s="26">
        <f>'TR TE'!$Z$14*'TR TE'!$Z$48</f>
        <v>6.5942396789608733</v>
      </c>
      <c r="AA14" s="26">
        <f>SUM($Z$14:$Z$14)</f>
        <v>6.5942396789608733</v>
      </c>
      <c r="AB14" s="26">
        <f>SUMIF($L$4:$AA$4,"SUBTOTAL",$L$14:$AA$14)</f>
        <v>185.12982157710366</v>
      </c>
    </row>
    <row r="15" spans="1:28" ht="11.25" customHeight="1" x14ac:dyDescent="0.3">
      <c r="A15" s="103"/>
      <c r="B15" s="103" t="s">
        <v>87</v>
      </c>
      <c r="C15" s="103" t="s">
        <v>24</v>
      </c>
      <c r="D15" s="28" t="s">
        <v>24</v>
      </c>
      <c r="E15" s="28" t="s">
        <v>25</v>
      </c>
      <c r="F15" s="28" t="s">
        <v>25</v>
      </c>
      <c r="G15" s="29" t="s">
        <v>79</v>
      </c>
      <c r="H15" s="29" t="s">
        <v>72</v>
      </c>
      <c r="I15" s="29">
        <f>'MERCADO TE'!$U$12</f>
        <v>0</v>
      </c>
      <c r="J15" s="15"/>
      <c r="L15" s="26">
        <f>'TR TE'!$L$15*'TR TE'!$L$48</f>
        <v>0</v>
      </c>
      <c r="M15" s="26">
        <f>'TR TE'!$M$15*'TR TE'!$M$48</f>
        <v>29.207314843259386</v>
      </c>
      <c r="N15" s="26">
        <f>'TR TE'!$N$15*'TR TE'!$N$48</f>
        <v>0</v>
      </c>
      <c r="O15" s="26">
        <f>'TR TE'!$O$15*'TR TE'!$O$48</f>
        <v>0</v>
      </c>
      <c r="P15" s="26">
        <f>'TR TE'!$P$15*'TR TE'!$P$48</f>
        <v>-13.84593575300415</v>
      </c>
      <c r="Q15" s="26">
        <f>SUM($L$15:$P$15)</f>
        <v>15.361379090255236</v>
      </c>
      <c r="R15" s="26">
        <f>'TR TE'!$R$15*'TR TE'!$R$48</f>
        <v>163.17420280788755</v>
      </c>
      <c r="S15" s="26">
        <f>SUM($R$15:$R$15)</f>
        <v>163.17420280788755</v>
      </c>
      <c r="T15" s="26">
        <f>'TR TE'!$T$15*'TR TE'!$T$48</f>
        <v>0</v>
      </c>
      <c r="U15" s="26">
        <f>'TR TE'!$U$15*'TR TE'!$U$48</f>
        <v>0</v>
      </c>
      <c r="V15" s="26">
        <f>'TR TE'!$V$15*'TR TE'!$V$48</f>
        <v>0</v>
      </c>
      <c r="W15" s="26">
        <f>SUM($T$15:$V$15)</f>
        <v>0</v>
      </c>
      <c r="X15" s="26"/>
      <c r="Y15" s="26">
        <f>SUM($X$15:$X$15)</f>
        <v>0</v>
      </c>
      <c r="Z15" s="26">
        <f>'TR TE'!$Z$15*'TR TE'!$Z$48</f>
        <v>6.5942396789608733</v>
      </c>
      <c r="AA15" s="26">
        <f>SUM($Z$15:$Z$15)</f>
        <v>6.5942396789608733</v>
      </c>
      <c r="AB15" s="26">
        <f>SUMIF($L$4:$AA$4,"SUBTOTAL",$L$15:$AA$15)</f>
        <v>185.12982157710366</v>
      </c>
    </row>
    <row r="16" spans="1:28" ht="11.25" customHeight="1" x14ac:dyDescent="0.3">
      <c r="A16" s="103"/>
      <c r="B16" s="103"/>
      <c r="C16" s="103"/>
      <c r="D16" s="28" t="s">
        <v>29</v>
      </c>
      <c r="E16" s="28" t="s">
        <v>25</v>
      </c>
      <c r="F16" s="28" t="s">
        <v>25</v>
      </c>
      <c r="G16" s="29" t="s">
        <v>79</v>
      </c>
      <c r="H16" s="29" t="s">
        <v>72</v>
      </c>
      <c r="I16" s="29">
        <f>'MERCADO TE'!$U$13</f>
        <v>0</v>
      </c>
      <c r="J16" s="15"/>
      <c r="L16" s="26">
        <f>'TR TE'!$L$16*'TR TE'!$L$48</f>
        <v>0</v>
      </c>
      <c r="M16" s="26">
        <f>'TR TE'!$M$16*'TR TE'!$M$48</f>
        <v>29.207314843259386</v>
      </c>
      <c r="N16" s="26">
        <f>'TR TE'!$N$16*'TR TE'!$N$48</f>
        <v>0</v>
      </c>
      <c r="O16" s="26">
        <f>'TR TE'!$O$16*'TR TE'!$O$48</f>
        <v>0</v>
      </c>
      <c r="P16" s="26">
        <f>'TR TE'!$P$16*'TR TE'!$P$48</f>
        <v>-13.84593575300415</v>
      </c>
      <c r="Q16" s="26">
        <f>SUM($L$16:$P$16)</f>
        <v>15.361379090255236</v>
      </c>
      <c r="R16" s="26">
        <f>'TR TE'!$R$16*'TR TE'!$R$48</f>
        <v>163.17420280788755</v>
      </c>
      <c r="S16" s="26">
        <f>SUM($R$16:$R$16)</f>
        <v>163.17420280788755</v>
      </c>
      <c r="T16" s="26">
        <f>'TR TE'!$T$16*'TR TE'!$T$48</f>
        <v>0</v>
      </c>
      <c r="U16" s="26">
        <f>'TR TE'!$U$16*'TR TE'!$U$48</f>
        <v>0</v>
      </c>
      <c r="V16" s="26">
        <f>'TR TE'!$V$16*'TR TE'!$V$48</f>
        <v>0</v>
      </c>
      <c r="W16" s="26">
        <f>SUM($T$16:$V$16)</f>
        <v>0</v>
      </c>
      <c r="X16" s="26"/>
      <c r="Y16" s="26">
        <f>SUM($X$16:$X$16)</f>
        <v>0</v>
      </c>
      <c r="Z16" s="26">
        <f>'TR TE'!$Z$16*'TR TE'!$Z$48</f>
        <v>6.5942396789608733</v>
      </c>
      <c r="AA16" s="26">
        <f>SUM($Z$16:$Z$16)</f>
        <v>6.5942396789608733</v>
      </c>
      <c r="AB16" s="26">
        <f>SUMIF($L$4:$AA$4,"SUBTOTAL",$L$16:$AA$16)</f>
        <v>185.12982157710366</v>
      </c>
    </row>
    <row r="17" spans="1:28" ht="11.25" customHeight="1" x14ac:dyDescent="0.3">
      <c r="A17" s="103"/>
      <c r="B17" s="103"/>
      <c r="C17" s="103"/>
      <c r="D17" s="28" t="s">
        <v>30</v>
      </c>
      <c r="E17" s="28" t="s">
        <v>25</v>
      </c>
      <c r="F17" s="28" t="s">
        <v>25</v>
      </c>
      <c r="G17" s="29" t="s">
        <v>79</v>
      </c>
      <c r="H17" s="29" t="s">
        <v>72</v>
      </c>
      <c r="I17" s="29">
        <f>'MERCADO TE'!$U$14</f>
        <v>0</v>
      </c>
      <c r="J17" s="15"/>
      <c r="L17" s="26">
        <f>'TR TE'!$L$17*'TR TE'!$L$48</f>
        <v>0</v>
      </c>
      <c r="M17" s="26">
        <f>'TR TE'!$M$17*'TR TE'!$M$48</f>
        <v>29.207314843259386</v>
      </c>
      <c r="N17" s="26">
        <f>'TR TE'!$N$17*'TR TE'!$N$48</f>
        <v>0</v>
      </c>
      <c r="O17" s="26">
        <f>'TR TE'!$O$17*'TR TE'!$O$48</f>
        <v>0</v>
      </c>
      <c r="P17" s="26">
        <f>'TR TE'!$P$17*'TR TE'!$P$48</f>
        <v>-13.84593575300415</v>
      </c>
      <c r="Q17" s="26">
        <f>SUM($L$17:$P$17)</f>
        <v>15.361379090255236</v>
      </c>
      <c r="R17" s="26">
        <f>'TR TE'!$R$17*'TR TE'!$R$48</f>
        <v>163.17420280788755</v>
      </c>
      <c r="S17" s="26">
        <f>SUM($R$17:$R$17)</f>
        <v>163.17420280788755</v>
      </c>
      <c r="T17" s="26">
        <f>'TR TE'!$T$17*'TR TE'!$T$48</f>
        <v>0</v>
      </c>
      <c r="U17" s="26">
        <f>'TR TE'!$U$17*'TR TE'!$U$48</f>
        <v>0</v>
      </c>
      <c r="V17" s="26">
        <f>'TR TE'!$V$17*'TR TE'!$V$48</f>
        <v>0</v>
      </c>
      <c r="W17" s="26">
        <f>SUM($T$17:$V$17)</f>
        <v>0</v>
      </c>
      <c r="X17" s="26"/>
      <c r="Y17" s="26">
        <f>SUM($X$17:$X$17)</f>
        <v>0</v>
      </c>
      <c r="Z17" s="26">
        <f>'TR TE'!$Z$17*'TR TE'!$Z$48</f>
        <v>6.5942396789608733</v>
      </c>
      <c r="AA17" s="26">
        <f>SUM($Z$17:$Z$17)</f>
        <v>6.5942396789608733</v>
      </c>
      <c r="AB17" s="26">
        <f>SUMIF($L$4:$AA$4,"SUBTOTAL",$L$17:$AA$17)</f>
        <v>185.12982157710366</v>
      </c>
    </row>
    <row r="18" spans="1:28" ht="11.25" customHeight="1" x14ac:dyDescent="0.3">
      <c r="A18" s="103"/>
      <c r="B18" s="103"/>
      <c r="C18" s="103"/>
      <c r="D18" s="28" t="s">
        <v>31</v>
      </c>
      <c r="E18" s="28" t="s">
        <v>25</v>
      </c>
      <c r="F18" s="28" t="s">
        <v>25</v>
      </c>
      <c r="G18" s="29" t="s">
        <v>79</v>
      </c>
      <c r="H18" s="29" t="s">
        <v>72</v>
      </c>
      <c r="I18" s="29">
        <f>'MERCADO TE'!$U$15</f>
        <v>0</v>
      </c>
      <c r="J18" s="15"/>
      <c r="L18" s="26">
        <f>'TR TE'!$L$18*'TR TE'!$L$48</f>
        <v>0</v>
      </c>
      <c r="M18" s="26">
        <f>'TR TE'!$M$18*'TR TE'!$M$48</f>
        <v>29.207314843259386</v>
      </c>
      <c r="N18" s="26">
        <f>'TR TE'!$N$18*'TR TE'!$N$48</f>
        <v>0</v>
      </c>
      <c r="O18" s="26">
        <f>'TR TE'!$O$18*'TR TE'!$O$48</f>
        <v>0</v>
      </c>
      <c r="P18" s="26">
        <f>'TR TE'!$P$18*'TR TE'!$P$48</f>
        <v>-13.84593575300415</v>
      </c>
      <c r="Q18" s="26">
        <f>SUM($L$18:$P$18)</f>
        <v>15.361379090255236</v>
      </c>
      <c r="R18" s="26">
        <f>'TR TE'!$R$18*'TR TE'!$R$48</f>
        <v>163.17420280788755</v>
      </c>
      <c r="S18" s="26">
        <f>SUM($R$18:$R$18)</f>
        <v>163.17420280788755</v>
      </c>
      <c r="T18" s="26">
        <f>'TR TE'!$T$18*'TR TE'!$T$48</f>
        <v>0</v>
      </c>
      <c r="U18" s="26">
        <f>'TR TE'!$U$18*'TR TE'!$U$48</f>
        <v>0</v>
      </c>
      <c r="V18" s="26">
        <f>'TR TE'!$V$18*'TR TE'!$V$48</f>
        <v>0</v>
      </c>
      <c r="W18" s="26">
        <f>SUM($T$18:$V$18)</f>
        <v>0</v>
      </c>
      <c r="X18" s="26"/>
      <c r="Y18" s="26">
        <f>SUM($X$18:$X$18)</f>
        <v>0</v>
      </c>
      <c r="Z18" s="26">
        <f>'TR TE'!$Z$18*'TR TE'!$Z$48</f>
        <v>6.5942396789608733</v>
      </c>
      <c r="AA18" s="26">
        <f>SUM($Z$18:$Z$18)</f>
        <v>6.5942396789608733</v>
      </c>
      <c r="AB18" s="26">
        <f>SUMIF($L$4:$AA$4,"SUBTOTAL",$L$18:$AA$18)</f>
        <v>185.12982157710366</v>
      </c>
    </row>
    <row r="19" spans="1:28" ht="11.25" customHeight="1" x14ac:dyDescent="0.3">
      <c r="A19" s="103"/>
      <c r="B19" s="103"/>
      <c r="C19" s="103"/>
      <c r="D19" s="28" t="s">
        <v>32</v>
      </c>
      <c r="E19" s="28" t="s">
        <v>25</v>
      </c>
      <c r="F19" s="28" t="s">
        <v>25</v>
      </c>
      <c r="G19" s="29" t="s">
        <v>79</v>
      </c>
      <c r="H19" s="29" t="s">
        <v>72</v>
      </c>
      <c r="I19" s="29">
        <f>'MERCADO TE'!$U$16</f>
        <v>0</v>
      </c>
      <c r="J19" s="15"/>
      <c r="L19" s="26">
        <f>'TR TE'!$L$19*'TR TE'!$L$48</f>
        <v>0</v>
      </c>
      <c r="M19" s="26">
        <f>'TR TE'!$M$19*'TR TE'!$M$48</f>
        <v>29.207314843259386</v>
      </c>
      <c r="N19" s="26">
        <f>'TR TE'!$N$19*'TR TE'!$N$48</f>
        <v>0</v>
      </c>
      <c r="O19" s="26">
        <f>'TR TE'!$O$19*'TR TE'!$O$48</f>
        <v>0</v>
      </c>
      <c r="P19" s="26">
        <f>'TR TE'!$P$19*'TR TE'!$P$48</f>
        <v>-13.84593575300415</v>
      </c>
      <c r="Q19" s="26">
        <f>SUM($L$19:$P$19)</f>
        <v>15.361379090255236</v>
      </c>
      <c r="R19" s="26">
        <f>'TR TE'!$R$19*'TR TE'!$R$48</f>
        <v>163.17420280788755</v>
      </c>
      <c r="S19" s="26">
        <f>SUM($R$19:$R$19)</f>
        <v>163.17420280788755</v>
      </c>
      <c r="T19" s="26">
        <f>'TR TE'!$T$19*'TR TE'!$T$48</f>
        <v>0</v>
      </c>
      <c r="U19" s="26">
        <f>'TR TE'!$U$19*'TR TE'!$U$48</f>
        <v>0</v>
      </c>
      <c r="V19" s="26">
        <f>'TR TE'!$V$19*'TR TE'!$V$48</f>
        <v>0</v>
      </c>
      <c r="W19" s="26">
        <f>SUM($T$19:$V$19)</f>
        <v>0</v>
      </c>
      <c r="X19" s="26"/>
      <c r="Y19" s="26">
        <f>SUM($X$19:$X$19)</f>
        <v>0</v>
      </c>
      <c r="Z19" s="26">
        <f>'TR TE'!$Z$19*'TR TE'!$Z$48</f>
        <v>6.5942396789608733</v>
      </c>
      <c r="AA19" s="26">
        <f>SUM($Z$19:$Z$19)</f>
        <v>6.5942396789608733</v>
      </c>
      <c r="AB19" s="26">
        <f>SUMIF($L$4:$AA$4,"SUBTOTAL",$L$19:$AA$19)</f>
        <v>185.12982157710366</v>
      </c>
    </row>
    <row r="20" spans="1:28" ht="11.25" customHeight="1" x14ac:dyDescent="0.3">
      <c r="A20" s="103" t="s">
        <v>42</v>
      </c>
      <c r="B20" s="103" t="s">
        <v>71</v>
      </c>
      <c r="C20" s="103" t="s">
        <v>43</v>
      </c>
      <c r="D20" s="103" t="s">
        <v>25</v>
      </c>
      <c r="E20" s="103" t="s">
        <v>25</v>
      </c>
      <c r="F20" s="103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'TR TE'!$L$20*'TR TE'!$L$48</f>
        <v>0</v>
      </c>
      <c r="M20" s="26">
        <f>'TR TE'!$M$20*'TR TE'!$M$48</f>
        <v>29.207314843259386</v>
      </c>
      <c r="N20" s="26">
        <f>'TR TE'!$N$20*'TR TE'!$N$48</f>
        <v>0</v>
      </c>
      <c r="O20" s="26">
        <f>'TR TE'!$O$20*'TR TE'!$O$48</f>
        <v>0</v>
      </c>
      <c r="P20" s="26">
        <f>'TR TE'!$P$20*'TR TE'!$P$48</f>
        <v>-13.84593575300415</v>
      </c>
      <c r="Q20" s="26">
        <f>SUM($L$20:$P$20)</f>
        <v>15.361379090255236</v>
      </c>
      <c r="R20" s="26">
        <f>'TR TE'!$R$20*'TR TE'!$R$48</f>
        <v>163.17420280788755</v>
      </c>
      <c r="S20" s="26">
        <f>SUM($R$20:$R$20)</f>
        <v>163.17420280788755</v>
      </c>
      <c r="T20" s="26">
        <f>'TR TE'!$T$20*'TR TE'!$T$48</f>
        <v>0</v>
      </c>
      <c r="U20" s="26">
        <f>'TR TE'!$U$20*'TR TE'!$U$48</f>
        <v>0</v>
      </c>
      <c r="V20" s="26">
        <f>'TR TE'!$V$20*'TR TE'!$V$48</f>
        <v>0</v>
      </c>
      <c r="W20" s="26">
        <f>SUM($T$20:$V$20)</f>
        <v>0</v>
      </c>
      <c r="X20" s="26"/>
      <c r="Y20" s="26">
        <f>SUM($X$20:$X$20)</f>
        <v>0</v>
      </c>
      <c r="Z20" s="26">
        <f>'TR TE'!$Z$20*'TR TE'!$Z$48</f>
        <v>6.5942396789608733</v>
      </c>
      <c r="AA20" s="26">
        <f>SUM($Z$20:$Z$20)</f>
        <v>6.5942396789608733</v>
      </c>
      <c r="AB20" s="26">
        <f>SUMIF($L$4:$AA$4,"SUBTOTAL",$L$20:$AA$20)</f>
        <v>185.12982157710366</v>
      </c>
    </row>
    <row r="21" spans="1:28" ht="11.25" customHeight="1" x14ac:dyDescent="0.3">
      <c r="A21" s="103"/>
      <c r="B21" s="103"/>
      <c r="C21" s="103"/>
      <c r="D21" s="103"/>
      <c r="E21" s="103"/>
      <c r="F21" s="103"/>
      <c r="G21" s="29" t="s">
        <v>85</v>
      </c>
      <c r="H21" s="29" t="s">
        <v>72</v>
      </c>
      <c r="I21" s="29">
        <f>'MERCADO TE'!$U$18</f>
        <v>0</v>
      </c>
      <c r="J21" s="15"/>
      <c r="L21" s="26">
        <f>'TR TE'!$L$21*'TR TE'!$L$48</f>
        <v>0</v>
      </c>
      <c r="M21" s="26">
        <f>'TR TE'!$M$21*'TR TE'!$M$48</f>
        <v>29.207314843259386</v>
      </c>
      <c r="N21" s="26">
        <f>'TR TE'!$N$21*'TR TE'!$N$48</f>
        <v>0</v>
      </c>
      <c r="O21" s="26">
        <f>'TR TE'!$O$21*'TR TE'!$O$48</f>
        <v>0</v>
      </c>
      <c r="P21" s="26">
        <f>'TR TE'!$P$21*'TR TE'!$P$48</f>
        <v>-13.84593575300415</v>
      </c>
      <c r="Q21" s="26">
        <f>SUM($L$21:$P$21)</f>
        <v>15.361379090255236</v>
      </c>
      <c r="R21" s="26">
        <f>'TR TE'!$R$21*'TR TE'!$R$48</f>
        <v>163.17420280788755</v>
      </c>
      <c r="S21" s="26">
        <f>SUM($R$21:$R$21)</f>
        <v>163.17420280788755</v>
      </c>
      <c r="T21" s="26">
        <f>'TR TE'!$T$21*'TR TE'!$T$48</f>
        <v>0</v>
      </c>
      <c r="U21" s="26">
        <f>'TR TE'!$U$21*'TR TE'!$U$48</f>
        <v>0</v>
      </c>
      <c r="V21" s="26">
        <f>'TR TE'!$V$21*'TR TE'!$V$48</f>
        <v>0</v>
      </c>
      <c r="W21" s="26">
        <f>SUM($T$21:$V$21)</f>
        <v>0</v>
      </c>
      <c r="X21" s="26"/>
      <c r="Y21" s="26">
        <f>SUM($X$21:$X$21)</f>
        <v>0</v>
      </c>
      <c r="Z21" s="26">
        <f>'TR TE'!$Z$21*'TR TE'!$Z$48</f>
        <v>6.5942396789608733</v>
      </c>
      <c r="AA21" s="26">
        <f>SUM($Z$21:$Z$21)</f>
        <v>6.5942396789608733</v>
      </c>
      <c r="AB21" s="26">
        <f>SUMIF($L$4:$AA$4,"SUBTOTAL",$L$21:$AA$21)</f>
        <v>185.12982157710366</v>
      </c>
    </row>
    <row r="22" spans="1:28" ht="11.25" customHeight="1" x14ac:dyDescent="0.3">
      <c r="A22" s="103"/>
      <c r="B22" s="103"/>
      <c r="C22" s="103"/>
      <c r="D22" s="103"/>
      <c r="E22" s="103"/>
      <c r="F22" s="103"/>
      <c r="G22" s="29" t="s">
        <v>74</v>
      </c>
      <c r="H22" s="29" t="s">
        <v>72</v>
      </c>
      <c r="I22" s="29">
        <f>'MERCADO TE'!$U$19</f>
        <v>0</v>
      </c>
      <c r="J22" s="15"/>
      <c r="L22" s="26">
        <f>'TR TE'!$L$22*'TR TE'!$L$48</f>
        <v>0</v>
      </c>
      <c r="M22" s="26">
        <f>'TR TE'!$M$22*'TR TE'!$M$48</f>
        <v>29.207314843259386</v>
      </c>
      <c r="N22" s="26">
        <f>'TR TE'!$N$22*'TR TE'!$N$48</f>
        <v>0</v>
      </c>
      <c r="O22" s="26">
        <f>'TR TE'!$O$22*'TR TE'!$O$48</f>
        <v>0</v>
      </c>
      <c r="P22" s="26">
        <f>'TR TE'!$P$22*'TR TE'!$P$48</f>
        <v>-13.84593575300415</v>
      </c>
      <c r="Q22" s="26">
        <f>SUM($L$22:$P$22)</f>
        <v>15.361379090255236</v>
      </c>
      <c r="R22" s="26">
        <f>'TR TE'!$R$22*'TR TE'!$R$48</f>
        <v>163.17420280788755</v>
      </c>
      <c r="S22" s="26">
        <f>SUM($R$22:$R$22)</f>
        <v>163.17420280788755</v>
      </c>
      <c r="T22" s="26">
        <f>'TR TE'!$T$22*'TR TE'!$T$48</f>
        <v>0</v>
      </c>
      <c r="U22" s="26">
        <f>'TR TE'!$U$22*'TR TE'!$U$48</f>
        <v>0</v>
      </c>
      <c r="V22" s="26">
        <f>'TR TE'!$V$22*'TR TE'!$V$48</f>
        <v>0</v>
      </c>
      <c r="W22" s="26">
        <f>SUM($T$22:$V$22)</f>
        <v>0</v>
      </c>
      <c r="X22" s="26"/>
      <c r="Y22" s="26">
        <f>SUM($X$22:$X$22)</f>
        <v>0</v>
      </c>
      <c r="Z22" s="26">
        <f>'TR TE'!$Z$22*'TR TE'!$Z$48</f>
        <v>6.5942396789608733</v>
      </c>
      <c r="AA22" s="26">
        <f>SUM($Z$22:$Z$22)</f>
        <v>6.5942396789608733</v>
      </c>
      <c r="AB22" s="26">
        <f>SUMIF($L$4:$AA$4,"SUBTOTAL",$L$22:$AA$22)</f>
        <v>185.12982157710366</v>
      </c>
    </row>
    <row r="23" spans="1:28" ht="11.25" customHeight="1" x14ac:dyDescent="0.3">
      <c r="A23" s="103"/>
      <c r="B23" s="28" t="s">
        <v>86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79</v>
      </c>
      <c r="H23" s="29" t="s">
        <v>72</v>
      </c>
      <c r="I23" s="29">
        <f>'MERCADO TE'!$U$20</f>
        <v>5511.7490000000016</v>
      </c>
      <c r="J23" s="15"/>
      <c r="L23" s="26">
        <f>'TR TE'!$L$23*'TR TE'!$L$48</f>
        <v>0</v>
      </c>
      <c r="M23" s="26">
        <f>'TR TE'!$M$23*'TR TE'!$M$48</f>
        <v>29.207314843259386</v>
      </c>
      <c r="N23" s="26">
        <f>'TR TE'!$N$23*'TR TE'!$N$48</f>
        <v>0</v>
      </c>
      <c r="O23" s="26">
        <f>'TR TE'!$O$23*'TR TE'!$O$48</f>
        <v>0</v>
      </c>
      <c r="P23" s="26">
        <f>'TR TE'!$P$23*'TR TE'!$P$48</f>
        <v>-13.84593575300415</v>
      </c>
      <c r="Q23" s="26">
        <f>SUM($L$23:$P$23)</f>
        <v>15.361379090255236</v>
      </c>
      <c r="R23" s="26">
        <f>'TR TE'!$R$23*'TR TE'!$R$48</f>
        <v>163.17420280788755</v>
      </c>
      <c r="S23" s="26">
        <f>SUM($R$23:$R$23)</f>
        <v>163.17420280788755</v>
      </c>
      <c r="T23" s="26">
        <f>'TR TE'!$T$23*'TR TE'!$T$48</f>
        <v>0</v>
      </c>
      <c r="U23" s="26">
        <f>'TR TE'!$U$23*'TR TE'!$U$48</f>
        <v>0</v>
      </c>
      <c r="V23" s="26">
        <f>'TR TE'!$V$23*'TR TE'!$V$48</f>
        <v>0</v>
      </c>
      <c r="W23" s="26">
        <f>SUM($T$23:$V$23)</f>
        <v>0</v>
      </c>
      <c r="X23" s="26"/>
      <c r="Y23" s="26">
        <f>SUM($X$23:$X$23)</f>
        <v>0</v>
      </c>
      <c r="Z23" s="26">
        <f>'TR TE'!$Z$23*'TR TE'!$Z$48</f>
        <v>6.5942396789608733</v>
      </c>
      <c r="AA23" s="26">
        <f>SUM($Z$23:$Z$23)</f>
        <v>6.5942396789608733</v>
      </c>
      <c r="AB23" s="26">
        <f>SUMIF($L$4:$AA$4,"SUBTOTAL",$L$23:$AA$23)</f>
        <v>185.12982157710366</v>
      </c>
    </row>
    <row r="24" spans="1:28" ht="11.25" customHeight="1" x14ac:dyDescent="0.3">
      <c r="A24" s="103"/>
      <c r="B24" s="103" t="s">
        <v>71</v>
      </c>
      <c r="C24" s="103" t="s">
        <v>43</v>
      </c>
      <c r="D24" s="103" t="s">
        <v>89</v>
      </c>
      <c r="E24" s="103" t="s">
        <v>25</v>
      </c>
      <c r="F24" s="103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'TR TE'!$L$24*'TR TE'!$L$48</f>
        <v>0</v>
      </c>
      <c r="M24" s="26">
        <f>'TR TE'!$M$24*'TR TE'!$M$48</f>
        <v>29.207314843259386</v>
      </c>
      <c r="N24" s="26">
        <f>'TR TE'!$N$24*'TR TE'!$N$48</f>
        <v>0</v>
      </c>
      <c r="O24" s="26">
        <f>'TR TE'!$O$24*'TR TE'!$O$48</f>
        <v>0</v>
      </c>
      <c r="P24" s="26">
        <f>'TR TE'!$P$24*'TR TE'!$P$48</f>
        <v>-13.84593575300415</v>
      </c>
      <c r="Q24" s="26">
        <f>SUM($L$24:$P$24)</f>
        <v>15.361379090255236</v>
      </c>
      <c r="R24" s="26">
        <f>'TR TE'!$R$24*'TR TE'!$R$48</f>
        <v>163.17420280788755</v>
      </c>
      <c r="S24" s="26">
        <f>SUM($R$24:$R$24)</f>
        <v>163.17420280788755</v>
      </c>
      <c r="T24" s="26">
        <f>'TR TE'!$T$24*'TR TE'!$T$48</f>
        <v>0</v>
      </c>
      <c r="U24" s="26">
        <f>'TR TE'!$U$24*'TR TE'!$U$48</f>
        <v>0</v>
      </c>
      <c r="V24" s="26">
        <f>'TR TE'!$V$24*'TR TE'!$V$48</f>
        <v>0</v>
      </c>
      <c r="W24" s="26">
        <f>SUM($T$24:$V$24)</f>
        <v>0</v>
      </c>
      <c r="X24" s="26"/>
      <c r="Y24" s="26">
        <f>SUM($X$24:$X$24)</f>
        <v>0</v>
      </c>
      <c r="Z24" s="26">
        <f>'TR TE'!$Z$24*'TR TE'!$Z$48</f>
        <v>6.5942396789608733</v>
      </c>
      <c r="AA24" s="26">
        <f>SUM($Z$24:$Z$24)</f>
        <v>6.5942396789608733</v>
      </c>
      <c r="AB24" s="26">
        <f>SUMIF($L$4:$AA$4,"SUBTOTAL",$L$24:$AA$24)</f>
        <v>185.12982157710366</v>
      </c>
    </row>
    <row r="25" spans="1:28" ht="11.25" customHeight="1" x14ac:dyDescent="0.3">
      <c r="A25" s="103"/>
      <c r="B25" s="103"/>
      <c r="C25" s="103"/>
      <c r="D25" s="103"/>
      <c r="E25" s="103"/>
      <c r="F25" s="103"/>
      <c r="G25" s="29" t="s">
        <v>85</v>
      </c>
      <c r="H25" s="29" t="s">
        <v>72</v>
      </c>
      <c r="I25" s="29">
        <f>'MERCADO TE'!$U$22</f>
        <v>0</v>
      </c>
      <c r="J25" s="15"/>
      <c r="L25" s="26">
        <f>'TR TE'!$L$25*'TR TE'!$L$48</f>
        <v>0</v>
      </c>
      <c r="M25" s="26">
        <f>'TR TE'!$M$25*'TR TE'!$M$48</f>
        <v>29.207314843259386</v>
      </c>
      <c r="N25" s="26">
        <f>'TR TE'!$N$25*'TR TE'!$N$48</f>
        <v>0</v>
      </c>
      <c r="O25" s="26">
        <f>'TR TE'!$O$25*'TR TE'!$O$48</f>
        <v>0</v>
      </c>
      <c r="P25" s="26">
        <f>'TR TE'!$P$25*'TR TE'!$P$48</f>
        <v>-13.84593575300415</v>
      </c>
      <c r="Q25" s="26">
        <f>SUM($L$25:$P$25)</f>
        <v>15.361379090255236</v>
      </c>
      <c r="R25" s="26">
        <f>'TR TE'!$R$25*'TR TE'!$R$48</f>
        <v>163.17420280788755</v>
      </c>
      <c r="S25" s="26">
        <f>SUM($R$25:$R$25)</f>
        <v>163.17420280788755</v>
      </c>
      <c r="T25" s="26">
        <f>'TR TE'!$T$25*'TR TE'!$T$48</f>
        <v>0</v>
      </c>
      <c r="U25" s="26">
        <f>'TR TE'!$U$25*'TR TE'!$U$48</f>
        <v>0</v>
      </c>
      <c r="V25" s="26">
        <f>'TR TE'!$V$25*'TR TE'!$V$48</f>
        <v>0</v>
      </c>
      <c r="W25" s="26">
        <f>SUM($T$25:$V$25)</f>
        <v>0</v>
      </c>
      <c r="X25" s="26"/>
      <c r="Y25" s="26">
        <f>SUM($X$25:$X$25)</f>
        <v>0</v>
      </c>
      <c r="Z25" s="26">
        <f>'TR TE'!$Z$25*'TR TE'!$Z$48</f>
        <v>6.5942396789608733</v>
      </c>
      <c r="AA25" s="26">
        <f>SUM($Z$25:$Z$25)</f>
        <v>6.5942396789608733</v>
      </c>
      <c r="AB25" s="26">
        <f>SUMIF($L$4:$AA$4,"SUBTOTAL",$L$25:$AA$25)</f>
        <v>185.12982157710366</v>
      </c>
    </row>
    <row r="26" spans="1:28" ht="11.25" customHeight="1" x14ac:dyDescent="0.3">
      <c r="A26" s="103"/>
      <c r="B26" s="103"/>
      <c r="C26" s="103"/>
      <c r="D26" s="103"/>
      <c r="E26" s="103"/>
      <c r="F26" s="103"/>
      <c r="G26" s="29" t="s">
        <v>74</v>
      </c>
      <c r="H26" s="29" t="s">
        <v>72</v>
      </c>
      <c r="I26" s="29">
        <f>'MERCADO TE'!$U$23</f>
        <v>0</v>
      </c>
      <c r="J26" s="15"/>
      <c r="L26" s="26">
        <f>'TR TE'!$L$26*'TR TE'!$L$48</f>
        <v>0</v>
      </c>
      <c r="M26" s="26">
        <f>'TR TE'!$M$26*'TR TE'!$M$48</f>
        <v>29.207314843259386</v>
      </c>
      <c r="N26" s="26">
        <f>'TR TE'!$N$26*'TR TE'!$N$48</f>
        <v>0</v>
      </c>
      <c r="O26" s="26">
        <f>'TR TE'!$O$26*'TR TE'!$O$48</f>
        <v>0</v>
      </c>
      <c r="P26" s="26">
        <f>'TR TE'!$P$26*'TR TE'!$P$48</f>
        <v>-13.84593575300415</v>
      </c>
      <c r="Q26" s="26">
        <f>SUM($L$26:$P$26)</f>
        <v>15.361379090255236</v>
      </c>
      <c r="R26" s="26">
        <f>'TR TE'!$R$26*'TR TE'!$R$48</f>
        <v>163.17420280788755</v>
      </c>
      <c r="S26" s="26">
        <f>SUM($R$26:$R$26)</f>
        <v>163.17420280788755</v>
      </c>
      <c r="T26" s="26">
        <f>'TR TE'!$T$26*'TR TE'!$T$48</f>
        <v>0</v>
      </c>
      <c r="U26" s="26">
        <f>'TR TE'!$U$26*'TR TE'!$U$48</f>
        <v>0</v>
      </c>
      <c r="V26" s="26">
        <f>'TR TE'!$V$26*'TR TE'!$V$48</f>
        <v>0</v>
      </c>
      <c r="W26" s="26">
        <f>SUM($T$26:$V$26)</f>
        <v>0</v>
      </c>
      <c r="X26" s="26"/>
      <c r="Y26" s="26">
        <f>SUM($X$26:$X$26)</f>
        <v>0</v>
      </c>
      <c r="Z26" s="26">
        <f>'TR TE'!$Z$26*'TR TE'!$Z$48</f>
        <v>6.5942396789608733</v>
      </c>
      <c r="AA26" s="26">
        <f>SUM($Z$26:$Z$26)</f>
        <v>6.5942396789608733</v>
      </c>
      <c r="AB26" s="26">
        <f>SUMIF($L$4:$AA$4,"SUBTOTAL",$L$26:$AA$26)</f>
        <v>185.12982157710366</v>
      </c>
    </row>
    <row r="27" spans="1:28" ht="11.25" customHeight="1" x14ac:dyDescent="0.3">
      <c r="A27" s="103"/>
      <c r="B27" s="28" t="s">
        <v>86</v>
      </c>
      <c r="C27" s="28" t="s">
        <v>43</v>
      </c>
      <c r="D27" s="28" t="s">
        <v>89</v>
      </c>
      <c r="E27" s="28" t="s">
        <v>25</v>
      </c>
      <c r="F27" s="28" t="s">
        <v>25</v>
      </c>
      <c r="G27" s="29" t="s">
        <v>79</v>
      </c>
      <c r="H27" s="29" t="s">
        <v>72</v>
      </c>
      <c r="I27" s="29">
        <f>'MERCADO TE'!$U$24</f>
        <v>0</v>
      </c>
      <c r="J27" s="15"/>
      <c r="L27" s="26">
        <f>'TR TE'!$L$27*'TR TE'!$L$48</f>
        <v>0</v>
      </c>
      <c r="M27" s="26">
        <f>'TR TE'!$M$27*'TR TE'!$M$48</f>
        <v>29.207314843259386</v>
      </c>
      <c r="N27" s="26">
        <f>'TR TE'!$N$27*'TR TE'!$N$48</f>
        <v>0</v>
      </c>
      <c r="O27" s="26">
        <f>'TR TE'!$O$27*'TR TE'!$O$48</f>
        <v>0</v>
      </c>
      <c r="P27" s="26">
        <f>'TR TE'!$P$27*'TR TE'!$P$48</f>
        <v>-13.84593575300415</v>
      </c>
      <c r="Q27" s="26">
        <f>SUM($L$27:$P$27)</f>
        <v>15.361379090255236</v>
      </c>
      <c r="R27" s="26">
        <f>'TR TE'!$R$27*'TR TE'!$R$48</f>
        <v>163.17420280788755</v>
      </c>
      <c r="S27" s="26">
        <f>SUM($R$27:$R$27)</f>
        <v>163.17420280788755</v>
      </c>
      <c r="T27" s="26">
        <f>'TR TE'!$T$27*'TR TE'!$T$48</f>
        <v>0</v>
      </c>
      <c r="U27" s="26">
        <f>'TR TE'!$U$27*'TR TE'!$U$48</f>
        <v>0</v>
      </c>
      <c r="V27" s="26">
        <f>'TR TE'!$V$27*'TR TE'!$V$48</f>
        <v>0</v>
      </c>
      <c r="W27" s="26">
        <f>SUM($T$27:$V$27)</f>
        <v>0</v>
      </c>
      <c r="X27" s="26"/>
      <c r="Y27" s="26">
        <f>SUM($X$27:$X$27)</f>
        <v>0</v>
      </c>
      <c r="Z27" s="26">
        <f>'TR TE'!$Z$27*'TR TE'!$Z$48</f>
        <v>6.5942396789608733</v>
      </c>
      <c r="AA27" s="26">
        <f>SUM($Z$27:$Z$27)</f>
        <v>6.5942396789608733</v>
      </c>
      <c r="AB27" s="26">
        <f>SUMIF($L$4:$AA$4,"SUBTOTAL",$L$27:$AA$27)</f>
        <v>185.12982157710366</v>
      </c>
    </row>
    <row r="28" spans="1:28" ht="11.25" customHeight="1" x14ac:dyDescent="0.3">
      <c r="A28" s="103"/>
      <c r="B28" s="103" t="s">
        <v>71</v>
      </c>
      <c r="C28" s="103" t="s">
        <v>43</v>
      </c>
      <c r="D28" s="103" t="s">
        <v>90</v>
      </c>
      <c r="E28" s="103" t="s">
        <v>25</v>
      </c>
      <c r="F28" s="103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'TR TE'!$L$28*'TR TE'!$L$48</f>
        <v>0</v>
      </c>
      <c r="M28" s="26">
        <f>'TR TE'!$M$28*'TR TE'!$M$48</f>
        <v>29.207314843259386</v>
      </c>
      <c r="N28" s="26">
        <f>'TR TE'!$N$28*'TR TE'!$N$48</f>
        <v>0</v>
      </c>
      <c r="O28" s="26">
        <f>'TR TE'!$O$28*'TR TE'!$O$48</f>
        <v>0</v>
      </c>
      <c r="P28" s="26">
        <f>'TR TE'!$P$28*'TR TE'!$P$48</f>
        <v>-13.84593575300415</v>
      </c>
      <c r="Q28" s="26">
        <f>SUM($L$28:$P$28)</f>
        <v>15.361379090255236</v>
      </c>
      <c r="R28" s="26">
        <f>'TR TE'!$R$28*'TR TE'!$R$48</f>
        <v>163.17420280788755</v>
      </c>
      <c r="S28" s="26">
        <f>SUM($R$28:$R$28)</f>
        <v>163.17420280788755</v>
      </c>
      <c r="T28" s="26">
        <f>'TR TE'!$T$28*'TR TE'!$T$48</f>
        <v>0</v>
      </c>
      <c r="U28" s="26">
        <f>'TR TE'!$U$28*'TR TE'!$U$48</f>
        <v>0</v>
      </c>
      <c r="V28" s="26">
        <f>'TR TE'!$V$28*'TR TE'!$V$48</f>
        <v>0</v>
      </c>
      <c r="W28" s="26">
        <f>SUM($T$28:$V$28)</f>
        <v>0</v>
      </c>
      <c r="X28" s="26"/>
      <c r="Y28" s="26">
        <f>SUM($X$28:$X$28)</f>
        <v>0</v>
      </c>
      <c r="Z28" s="26">
        <f>'TR TE'!$Z$28*'TR TE'!$Z$48</f>
        <v>6.5942396789608733</v>
      </c>
      <c r="AA28" s="26">
        <f>SUM($Z$28:$Z$28)</f>
        <v>6.5942396789608733</v>
      </c>
      <c r="AB28" s="26">
        <f>SUMIF($L$4:$AA$4,"SUBTOTAL",$L$28:$AA$28)</f>
        <v>185.12982157710366</v>
      </c>
    </row>
    <row r="29" spans="1:28" ht="11.25" customHeight="1" x14ac:dyDescent="0.3">
      <c r="A29" s="103"/>
      <c r="B29" s="103"/>
      <c r="C29" s="103"/>
      <c r="D29" s="103"/>
      <c r="E29" s="103"/>
      <c r="F29" s="103"/>
      <c r="G29" s="29" t="s">
        <v>85</v>
      </c>
      <c r="H29" s="29" t="s">
        <v>72</v>
      </c>
      <c r="I29" s="29">
        <f>'MERCADO TE'!$U$26</f>
        <v>0</v>
      </c>
      <c r="J29" s="15"/>
      <c r="L29" s="26">
        <f>'TR TE'!$L$29*'TR TE'!$L$48</f>
        <v>0</v>
      </c>
      <c r="M29" s="26">
        <f>'TR TE'!$M$29*'TR TE'!$M$48</f>
        <v>29.207314843259386</v>
      </c>
      <c r="N29" s="26">
        <f>'TR TE'!$N$29*'TR TE'!$N$48</f>
        <v>0</v>
      </c>
      <c r="O29" s="26">
        <f>'TR TE'!$O$29*'TR TE'!$O$48</f>
        <v>0</v>
      </c>
      <c r="P29" s="26">
        <f>'TR TE'!$P$29*'TR TE'!$P$48</f>
        <v>-13.84593575300415</v>
      </c>
      <c r="Q29" s="26">
        <f>SUM($L$29:$P$29)</f>
        <v>15.361379090255236</v>
      </c>
      <c r="R29" s="26">
        <f>'TR TE'!$R$29*'TR TE'!$R$48</f>
        <v>163.17420280788755</v>
      </c>
      <c r="S29" s="26">
        <f>SUM($R$29:$R$29)</f>
        <v>163.17420280788755</v>
      </c>
      <c r="T29" s="26">
        <f>'TR TE'!$T$29*'TR TE'!$T$48</f>
        <v>0</v>
      </c>
      <c r="U29" s="26">
        <f>'TR TE'!$U$29*'TR TE'!$U$48</f>
        <v>0</v>
      </c>
      <c r="V29" s="26">
        <f>'TR TE'!$V$29*'TR TE'!$V$48</f>
        <v>0</v>
      </c>
      <c r="W29" s="26">
        <f>SUM($T$29:$V$29)</f>
        <v>0</v>
      </c>
      <c r="X29" s="26"/>
      <c r="Y29" s="26">
        <f>SUM($X$29:$X$29)</f>
        <v>0</v>
      </c>
      <c r="Z29" s="26">
        <f>'TR TE'!$Z$29*'TR TE'!$Z$48</f>
        <v>6.5942396789608733</v>
      </c>
      <c r="AA29" s="26">
        <f>SUM($Z$29:$Z$29)</f>
        <v>6.5942396789608733</v>
      </c>
      <c r="AB29" s="26">
        <f>SUMIF($L$4:$AA$4,"SUBTOTAL",$L$29:$AA$29)</f>
        <v>185.12982157710366</v>
      </c>
    </row>
    <row r="30" spans="1:28" ht="11.25" c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"29" t="s">
        <v>72</v>
      </c>
      <c r="I30" s="29">
        <f>'MERCADO TE'!$U$27</f>
        <v>0</v>
      </c>
      <c r="J30" s="15"/>
      <c r="L30" s="26">
        <f>'TR TE'!$L$30*'TR TE'!$L$48</f>
        <v>0</v>
      </c>
      <c r="M30" s="26">
        <f>'TR TE'!$M$30*'TR TE'!$M$48</f>
        <v>29.207314843259386</v>
      </c>
      <c r="N30" s="26">
        <f>'TR TE'!$N$30*'TR TE'!$N$48</f>
        <v>0</v>
      </c>
      <c r="O30" s="26">
        <f>'TR TE'!$O$30*'TR TE'!$O$48</f>
        <v>0</v>
      </c>
      <c r="P30" s="26">
        <f>'TR TE'!$P$30*'TR TE'!$P$48</f>
        <v>-13.84593575300415</v>
      </c>
      <c r="Q30" s="26">
        <f>SUM($L$30:$P$30)</f>
        <v>15.361379090255236</v>
      </c>
      <c r="R30" s="26">
        <f>'TR TE'!$R$30*'TR TE'!$R$48</f>
        <v>163.17420280788755</v>
      </c>
      <c r="S30" s="26">
        <f>SUM($R$30:$R$30)</f>
        <v>163.17420280788755</v>
      </c>
      <c r="T30" s="26">
        <f>'TR TE'!$T$30*'TR TE'!$T$48</f>
        <v>0</v>
      </c>
      <c r="U30" s="26">
        <f>'TR TE'!$U$30*'TR TE'!$U$48</f>
        <v>0</v>
      </c>
      <c r="V30" s="26">
        <f>'TR TE'!$V$30*'TR TE'!$V$48</f>
        <v>0</v>
      </c>
      <c r="W30" s="26">
        <f>SUM($T$30:$V$30)</f>
        <v>0</v>
      </c>
      <c r="X30" s="26"/>
      <c r="Y30" s="26">
        <f>SUM($X$30:$X$30)</f>
        <v>0</v>
      </c>
      <c r="Z30" s="26">
        <f>'TR TE'!$Z$30*'TR TE'!$Z$48</f>
        <v>6.5942396789608733</v>
      </c>
      <c r="AA30" s="26">
        <f>SUM($Z$30:$Z$30)</f>
        <v>6.5942396789608733</v>
      </c>
      <c r="AB30" s="26">
        <f>SUMIF($L$4:$AA$4,"SUBTOTAL",$L$30:$AA$30)</f>
        <v>185.12982157710366</v>
      </c>
    </row>
    <row r="31" spans="1:28" ht="11.25" customHeight="1" x14ac:dyDescent="0.3">
      <c r="A31" s="103"/>
      <c r="B31" s="28" t="s">
        <v>86</v>
      </c>
      <c r="C31" s="28" t="s">
        <v>43</v>
      </c>
      <c r="D31" s="28" t="s">
        <v>90</v>
      </c>
      <c r="E31" s="28" t="s">
        <v>25</v>
      </c>
      <c r="F31" s="28" t="s">
        <v>25</v>
      </c>
      <c r="G31" s="29" t="s">
        <v>79</v>
      </c>
      <c r="H31" s="29" t="s">
        <v>72</v>
      </c>
      <c r="I31" s="29">
        <f>'MERCADO TE'!$U$28</f>
        <v>0</v>
      </c>
      <c r="J31" s="15"/>
      <c r="L31" s="26">
        <f>'TR TE'!$L$31*'TR TE'!$L$48</f>
        <v>0</v>
      </c>
      <c r="M31" s="26">
        <f>'TR TE'!$M$31*'TR TE'!$M$48</f>
        <v>29.207314843259386</v>
      </c>
      <c r="N31" s="26">
        <f>'TR TE'!$N$31*'TR TE'!$N$48</f>
        <v>0</v>
      </c>
      <c r="O31" s="26">
        <f>'TR TE'!$O$31*'TR TE'!$O$48</f>
        <v>0</v>
      </c>
      <c r="P31" s="26">
        <f>'TR TE'!$P$31*'TR TE'!$P$48</f>
        <v>-13.84593575300415</v>
      </c>
      <c r="Q31" s="26">
        <f>SUM($L$31:$P$31)</f>
        <v>15.361379090255236</v>
      </c>
      <c r="R31" s="26">
        <f>'TR TE'!$R$31*'TR TE'!$R$48</f>
        <v>163.17420280788755</v>
      </c>
      <c r="S31" s="26">
        <f>SUM($R$31:$R$31)</f>
        <v>163.17420280788755</v>
      </c>
      <c r="T31" s="26">
        <f>'TR TE'!$T$31*'TR TE'!$T$48</f>
        <v>0</v>
      </c>
      <c r="U31" s="26">
        <f>'TR TE'!$U$31*'TR TE'!$U$48</f>
        <v>0</v>
      </c>
      <c r="V31" s="26">
        <f>'TR TE'!$V$31*'TR TE'!$V$48</f>
        <v>0</v>
      </c>
      <c r="W31" s="26">
        <f>SUM($T$31:$V$31)</f>
        <v>0</v>
      </c>
      <c r="X31" s="26"/>
      <c r="Y31" s="26">
        <f>SUM($X$31:$X$31)</f>
        <v>0</v>
      </c>
      <c r="Z31" s="26">
        <f>'TR TE'!$Z$31*'TR TE'!$Z$48</f>
        <v>6.5942396789608733</v>
      </c>
      <c r="AA31" s="26">
        <f>SUM($Z$31:$Z$31)</f>
        <v>6.5942396789608733</v>
      </c>
      <c r="AB31" s="26">
        <f>SUMIF($L$4:$AA$4,"SUBTOTAL",$L$31:$AA$31)</f>
        <v>185.12982157710366</v>
      </c>
    </row>
    <row r="32" spans="1:28" ht="11.25" customHeight="1" x14ac:dyDescent="0.3">
      <c r="A32" s="103"/>
      <c r="B32" s="103" t="s">
        <v>87</v>
      </c>
      <c r="C32" s="103" t="s">
        <v>43</v>
      </c>
      <c r="D32" s="28" t="s">
        <v>25</v>
      </c>
      <c r="E32" s="28" t="s">
        <v>25</v>
      </c>
      <c r="F32" s="28" t="s">
        <v>25</v>
      </c>
      <c r="G32" s="29" t="s">
        <v>79</v>
      </c>
      <c r="H32" s="29" t="s">
        <v>72</v>
      </c>
      <c r="I32" s="29">
        <f>'MERCADO TE'!$U$29</f>
        <v>0</v>
      </c>
      <c r="J32" s="15"/>
      <c r="L32" s="26">
        <f>'TR TE'!$L$32*'TR TE'!$L$48</f>
        <v>0</v>
      </c>
      <c r="M32" s="26">
        <f>'TR TE'!$M$32*'TR TE'!$M$48</f>
        <v>29.207314843259386</v>
      </c>
      <c r="N32" s="26">
        <f>'TR TE'!$N$32*'TR TE'!$N$48</f>
        <v>0</v>
      </c>
      <c r="O32" s="26">
        <f>'TR TE'!$O$32*'TR TE'!$O$48</f>
        <v>0</v>
      </c>
      <c r="P32" s="26">
        <f>'TR TE'!$P$32*'TR TE'!$P$48</f>
        <v>-13.84593575300415</v>
      </c>
      <c r="Q32" s="26">
        <f>SUM($L$32:$P$32)</f>
        <v>15.361379090255236</v>
      </c>
      <c r="R32" s="26">
        <f>'TR TE'!$R$32*'TR TE'!$R$48</f>
        <v>163.17420280788755</v>
      </c>
      <c r="S32" s="26">
        <f>SUM($R$32:$R$32)</f>
        <v>163.17420280788755</v>
      </c>
      <c r="T32" s="26">
        <f>'TR TE'!$T$32*'TR TE'!$T$48</f>
        <v>0</v>
      </c>
      <c r="U32" s="26">
        <f>'TR TE'!$U$32*'TR TE'!$U$48</f>
        <v>0</v>
      </c>
      <c r="V32" s="26">
        <f>'TR TE'!$V$32*'TR TE'!$V$48</f>
        <v>0</v>
      </c>
      <c r="W32" s="26">
        <f>SUM($T$32:$V$32)</f>
        <v>0</v>
      </c>
      <c r="X32" s="26"/>
      <c r="Y32" s="26">
        <f>SUM($X$32:$X$32)</f>
        <v>0</v>
      </c>
      <c r="Z32" s="26">
        <f>'TR TE'!$Z$32*'TR TE'!$Z$48</f>
        <v>6.5942396789608733</v>
      </c>
      <c r="AA32" s="26">
        <f>SUM($Z$32:$Z$32)</f>
        <v>6.5942396789608733</v>
      </c>
      <c r="AB32" s="26">
        <f>SUMIF($L$4:$AA$4,"SUBTOTAL",$L$32:$AA$32)</f>
        <v>185.12982157710366</v>
      </c>
    </row>
    <row r="33" spans="1:28" ht="11.25" customHeight="1" x14ac:dyDescent="0.3">
      <c r="A33" s="103"/>
      <c r="B33" s="103"/>
      <c r="C33" s="103"/>
      <c r="D33" s="28" t="s">
        <v>89</v>
      </c>
      <c r="E33" s="28" t="s">
        <v>25</v>
      </c>
      <c r="F33" s="28" t="s">
        <v>25</v>
      </c>
      <c r="G33" s="29" t="s">
        <v>79</v>
      </c>
      <c r="H33" s="29" t="s">
        <v>72</v>
      </c>
      <c r="I33" s="29">
        <f>'MERCADO TE'!$U$30</f>
        <v>0</v>
      </c>
      <c r="J33" s="15"/>
      <c r="L33" s="26">
        <f>'TR TE'!$L$33*'TR TE'!$L$48</f>
        <v>0</v>
      </c>
      <c r="M33" s="26">
        <f>'TR TE'!$M$33*'TR TE'!$M$48</f>
        <v>29.207314843259386</v>
      </c>
      <c r="N33" s="26">
        <f>'TR TE'!$N$33*'TR TE'!$N$48</f>
        <v>0</v>
      </c>
      <c r="O33" s="26">
        <f>'TR TE'!$O$33*'TR TE'!$O$48</f>
        <v>0</v>
      </c>
      <c r="P33" s="26">
        <f>'TR TE'!$P$33*'TR TE'!$P$48</f>
        <v>-13.84593575300415</v>
      </c>
      <c r="Q33" s="26">
        <f>SUM($L$33:$P$33)</f>
        <v>15.361379090255236</v>
      </c>
      <c r="R33" s="26">
        <f>'TR TE'!$R$33*'TR TE'!$R$48</f>
        <v>163.17420280788755</v>
      </c>
      <c r="S33" s="26">
        <f>SUM($R$33:$R$33)</f>
        <v>163.17420280788755</v>
      </c>
      <c r="T33" s="26">
        <f>'TR TE'!$T$33*'TR TE'!$T$48</f>
        <v>0</v>
      </c>
      <c r="U33" s="26">
        <f>'TR TE'!$U$33*'TR TE'!$U$48</f>
        <v>0</v>
      </c>
      <c r="V33" s="26">
        <f>'TR TE'!$V$33*'TR TE'!$V$48</f>
        <v>0</v>
      </c>
      <c r="W33" s="26">
        <f>SUM($T$33:$V$33)</f>
        <v>0</v>
      </c>
      <c r="X33" s="26"/>
      <c r="Y33" s="26">
        <f>SUM($X$33:$X$33)</f>
        <v>0</v>
      </c>
      <c r="Z33" s="26">
        <f>'TR TE'!$Z$33*'TR TE'!$Z$48</f>
        <v>6.5942396789608733</v>
      </c>
      <c r="AA33" s="26">
        <f>SUM($Z$33:$Z$33)</f>
        <v>6.5942396789608733</v>
      </c>
      <c r="AB33" s="26">
        <f>SUMIF($L$4:$AA$4,"SUBTOTAL",$L$33:$AA$33)</f>
        <v>185.12982157710366</v>
      </c>
    </row>
    <row r="34" spans="1:28" ht="11.25" customHeight="1" x14ac:dyDescent="0.3">
      <c r="A34" s="103"/>
      <c r="B34" s="103"/>
      <c r="C34" s="103"/>
      <c r="D34" s="28" t="s">
        <v>90</v>
      </c>
      <c r="E34" s="28" t="s">
        <v>25</v>
      </c>
      <c r="F34" s="28" t="s">
        <v>25</v>
      </c>
      <c r="G34" s="29" t="s">
        <v>79</v>
      </c>
      <c r="H34" s="29" t="s">
        <v>72</v>
      </c>
      <c r="I34" s="29">
        <f>'MERCADO TE'!$U$31</f>
        <v>0</v>
      </c>
      <c r="J34" s="15"/>
      <c r="L34" s="26">
        <f>'TR TE'!$L$34*'TR TE'!$L$48</f>
        <v>0</v>
      </c>
      <c r="M34" s="26">
        <f>'TR TE'!$M$34*'TR TE'!$M$48</f>
        <v>29.207314843259386</v>
      </c>
      <c r="N34" s="26">
        <f>'TR TE'!$N$34*'TR TE'!$N$48</f>
        <v>0</v>
      </c>
      <c r="O34" s="26">
        <f>'TR TE'!$O$34*'TR TE'!$O$48</f>
        <v>0</v>
      </c>
      <c r="P34" s="26">
        <f>'TR TE'!$P$34*'TR TE'!$P$48</f>
        <v>-13.84593575300415</v>
      </c>
      <c r="Q34" s="26">
        <f>SUM($L$34:$P$34)</f>
        <v>15.361379090255236</v>
      </c>
      <c r="R34" s="26">
        <f>'TR TE'!$R$34*'TR TE'!$R$48</f>
        <v>163.17420280788755</v>
      </c>
      <c r="S34" s="26">
        <f>SUM($R$34:$R$34)</f>
        <v>163.17420280788755</v>
      </c>
      <c r="T34" s="26">
        <f>'TR TE'!$T$34*'TR TE'!$T$48</f>
        <v>0</v>
      </c>
      <c r="U34" s="26">
        <f>'TR TE'!$U$34*'TR TE'!$U$48</f>
        <v>0</v>
      </c>
      <c r="V34" s="26">
        <f>'TR TE'!$V$34*'TR TE'!$V$48</f>
        <v>0</v>
      </c>
      <c r="W34" s="26">
        <f>SUM($T$34:$V$34)</f>
        <v>0</v>
      </c>
      <c r="X34" s="26"/>
      <c r="Y34" s="26">
        <f>SUM($X$34:$X$34)</f>
        <v>0</v>
      </c>
      <c r="Z34" s="26">
        <f>'TR TE'!$Z$34*'TR TE'!$Z$48</f>
        <v>6.5942396789608733</v>
      </c>
      <c r="AA34" s="26">
        <f>SUM($Z$34:$Z$34)</f>
        <v>6.5942396789608733</v>
      </c>
      <c r="AB34" s="26">
        <f>SUMIF($L$4:$AA$4,"SUBTOTAL",$L$34:$AA$34)</f>
        <v>185.12982157710366</v>
      </c>
    </row>
    <row r="35" spans="1:28" ht="11.25" customHeight="1" x14ac:dyDescent="0.3">
      <c r="A35" s="103" t="s">
        <v>33</v>
      </c>
      <c r="B35" s="103" t="s">
        <v>71</v>
      </c>
      <c r="C35" s="103" t="s">
        <v>25</v>
      </c>
      <c r="D35" s="103" t="s">
        <v>25</v>
      </c>
      <c r="E35" s="103" t="s">
        <v>25</v>
      </c>
      <c r="F35" s="103" t="s">
        <v>25</v>
      </c>
      <c r="G35" s="29" t="s">
        <v>73</v>
      </c>
      <c r="H35" s="29" t="s">
        <v>72</v>
      </c>
      <c r="I35" s="29">
        <f>'MERCADO TE'!$U$32</f>
        <v>0.86799999999999977</v>
      </c>
      <c r="J35" s="15"/>
      <c r="L35" s="26">
        <f>'TR TE'!$L$35*'TR TE'!$L$48</f>
        <v>0</v>
      </c>
      <c r="M35" s="26">
        <f>'TR TE'!$M$35*'TR TE'!$M$48</f>
        <v>29.207314843259386</v>
      </c>
      <c r="N35" s="26">
        <f>'TR TE'!$N$35*'TR TE'!$N$48</f>
        <v>0</v>
      </c>
      <c r="O35" s="26">
        <f>'TR TE'!$O$35*'TR TE'!$O$48</f>
        <v>0</v>
      </c>
      <c r="P35" s="26">
        <f>'TR TE'!$P$35*'TR TE'!$P$48</f>
        <v>-13.84593575300415</v>
      </c>
      <c r="Q35" s="26">
        <f>SUM($L$35:$P$35)</f>
        <v>15.361379090255236</v>
      </c>
      <c r="R35" s="26">
        <f>'TR TE'!$R$35*'TR TE'!$R$48</f>
        <v>163.17420280788755</v>
      </c>
      <c r="S35" s="26">
        <f>SUM($R$35:$R$35)</f>
        <v>163.17420280788755</v>
      </c>
      <c r="T35" s="26">
        <f>'TR TE'!$T$35*'TR TE'!$T$48</f>
        <v>0</v>
      </c>
      <c r="U35" s="26">
        <f>'TR TE'!$U$35*'TR TE'!$U$48</f>
        <v>0</v>
      </c>
      <c r="V35" s="26">
        <f>'TR TE'!$V$35*'TR TE'!$V$48</f>
        <v>0</v>
      </c>
      <c r="W35" s="26">
        <f>SUM($T$35:$V$35)</f>
        <v>0</v>
      </c>
      <c r="X35" s="26"/>
      <c r="Y35" s="26">
        <f>SUM($X$35:$X$35)</f>
        <v>0</v>
      </c>
      <c r="Z35" s="26">
        <f>'TR TE'!$Z$35*'TR TE'!$Z$48</f>
        <v>6.5942396789608733</v>
      </c>
      <c r="AA35" s="26">
        <f>SUM($Z$35:$Z$35)</f>
        <v>6.5942396789608733</v>
      </c>
      <c r="AB35" s="26">
        <f>SUMIF($L$4:$AA$4,"SUBTOTAL",$L$35:$AA$35)</f>
        <v>185.12982157710366</v>
      </c>
    </row>
    <row r="36" spans="1:28" ht="11.25" customHeight="1" x14ac:dyDescent="0.3">
      <c r="A36" s="103"/>
      <c r="B36" s="103"/>
      <c r="C36" s="103"/>
      <c r="D36" s="103"/>
      <c r="E36" s="103"/>
      <c r="F36" s="103"/>
      <c r="G36" s="29" t="s">
        <v>85</v>
      </c>
      <c r="H36" s="29" t="s">
        <v>72</v>
      </c>
      <c r="I36" s="29">
        <f>'MERCADO TE'!$U$33</f>
        <v>0.57500000000000007</v>
      </c>
      <c r="J36" s="15"/>
      <c r="L36" s="26">
        <f>'TR TE'!$L$36*'TR TE'!$L$48</f>
        <v>0</v>
      </c>
      <c r="M36" s="26">
        <f>'TR TE'!$M$36*'TR TE'!$M$48</f>
        <v>29.207314843259386</v>
      </c>
      <c r="N36" s="26">
        <f>'TR TE'!$N$36*'TR TE'!$N$48</f>
        <v>0</v>
      </c>
      <c r="O36" s="26">
        <f>'TR TE'!$O$36*'TR TE'!$O$48</f>
        <v>0</v>
      </c>
      <c r="P36" s="26">
        <f>'TR TE'!$P$36*'TR TE'!$P$48</f>
        <v>-13.84593575300415</v>
      </c>
      <c r="Q36" s="26">
        <f>SUM($L$36:$P$36)</f>
        <v>15.361379090255236</v>
      </c>
      <c r="R36" s="26">
        <f>'TR TE'!$R$36*'TR TE'!$R$48</f>
        <v>163.17420280788755</v>
      </c>
      <c r="S36" s="26">
        <f>SUM($R$36:$R$36)</f>
        <v>163.17420280788755</v>
      </c>
      <c r="T36" s="26">
        <f>'TR TE'!$T$36*'TR TE'!$T$48</f>
        <v>0</v>
      </c>
      <c r="U36" s="26">
        <f>'TR TE'!$U$36*'TR TE'!$U$48</f>
        <v>0</v>
      </c>
      <c r="V36" s="26">
        <f>'TR TE'!$V$36*'TR TE'!$V$48</f>
        <v>0</v>
      </c>
      <c r="W36" s="26">
        <f>SUM($T$36:$V$36)</f>
        <v>0</v>
      </c>
      <c r="X36" s="26"/>
      <c r="Y36" s="26">
        <f>SUM($X$36:$X$36)</f>
        <v>0</v>
      </c>
      <c r="Z36" s="26">
        <f>'TR TE'!$Z$36*'TR TE'!$Z$48</f>
        <v>6.5942396789608733</v>
      </c>
      <c r="AA36" s="26">
        <f>SUM($Z$36:$Z$36)</f>
        <v>6.5942396789608733</v>
      </c>
      <c r="AB36" s="26">
        <f>SUMIF($L$4:$AA$4,"SUBTOTAL",$L$36:$AA$36)</f>
        <v>185.12982157710366</v>
      </c>
    </row>
    <row r="37" spans="1:28" ht="11.25" customHeight="1" x14ac:dyDescent="0.3">
      <c r="A37" s="103"/>
      <c r="B37" s="103"/>
      <c r="C37" s="103"/>
      <c r="D37" s="103"/>
      <c r="E37" s="103"/>
      <c r="F37" s="103"/>
      <c r="G37" s="29" t="s">
        <v>74</v>
      </c>
      <c r="H37" s="29" t="s">
        <v>72</v>
      </c>
      <c r="I37" s="29">
        <f>'MERCADO TE'!$U$34</f>
        <v>9.5989999999999984</v>
      </c>
      <c r="J37" s="15"/>
      <c r="L37" s="26">
        <f>'TR TE'!$L$37*'TR TE'!$L$48</f>
        <v>0</v>
      </c>
      <c r="M37" s="26">
        <f>'TR TE'!$M$37*'TR TE'!$M$48</f>
        <v>29.207314843259386</v>
      </c>
      <c r="N37" s="26">
        <f>'TR TE'!$N$37*'TR TE'!$N$48</f>
        <v>0</v>
      </c>
      <c r="O37" s="26">
        <f>'TR TE'!$O$37*'TR TE'!$O$48</f>
        <v>0</v>
      </c>
      <c r="P37" s="26">
        <f>'TR TE'!$P$37*'TR TE'!$P$48</f>
        <v>-13.84593575300415</v>
      </c>
      <c r="Q37" s="26">
        <f>SUM($L$37:$P$37)</f>
        <v>15.361379090255236</v>
      </c>
      <c r="R37" s="26">
        <f>'TR TE'!$R$37*'TR TE'!$R$48</f>
        <v>163.17420280788755</v>
      </c>
      <c r="S37" s="26">
        <f>SUM($R$37:$R$37)</f>
        <v>163.17420280788755</v>
      </c>
      <c r="T37" s="26">
        <f>'TR TE'!$T$37*'TR TE'!$T$48</f>
        <v>0</v>
      </c>
      <c r="U37" s="26">
        <f>'TR TE'!$U$37*'TR TE'!$U$48</f>
        <v>0</v>
      </c>
      <c r="V37" s="26">
        <f>'TR TE'!$V$37*'TR TE'!$V$48</f>
        <v>0</v>
      </c>
      <c r="W37" s="26">
        <f>SUM($T$37:$V$37)</f>
        <v>0</v>
      </c>
      <c r="X37" s="26"/>
      <c r="Y37" s="26">
        <f>SUM($X$37:$X$37)</f>
        <v>0</v>
      </c>
      <c r="Z37" s="26">
        <f>'TR TE'!$Z$37*'TR TE'!$Z$48</f>
        <v>6.5942396789608733</v>
      </c>
      <c r="AA37" s="26">
        <f>SUM($Z$37:$Z$37)</f>
        <v>6.5942396789608733</v>
      </c>
      <c r="AB37" s="26">
        <f>SUMIF($L$4:$AA$4,"SUBTOTAL",$L$37:$AA$37)</f>
        <v>185.12982157710366</v>
      </c>
    </row>
    <row r="38" spans="1:28" ht="11.25" customHeight="1" x14ac:dyDescent="0.3">
      <c r="A38" s="103"/>
      <c r="B38" s="28" t="s">
        <v>86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79</v>
      </c>
      <c r="H38" s="29" t="s">
        <v>72</v>
      </c>
      <c r="I38" s="29">
        <f>'MERCADO TE'!$U$35</f>
        <v>3233.996000000001</v>
      </c>
      <c r="J38" s="15"/>
      <c r="L38" s="26">
        <f>'TR TE'!$L$38*'TR TE'!$L$48</f>
        <v>0</v>
      </c>
      <c r="M38" s="26">
        <f>'TR TE'!$M$38*'TR TE'!$M$48</f>
        <v>29.207314843259386</v>
      </c>
      <c r="N38" s="26">
        <f>'TR TE'!$N$38*'TR TE'!$N$48</f>
        <v>0</v>
      </c>
      <c r="O38" s="26">
        <f>'TR TE'!$O$38*'TR TE'!$O$48</f>
        <v>0</v>
      </c>
      <c r="P38" s="26">
        <f>'TR TE'!$P$38*'TR TE'!$P$48</f>
        <v>-13.84593575300415</v>
      </c>
      <c r="Q38" s="26">
        <f>SUM($L$38:$P$38)</f>
        <v>15.361379090255236</v>
      </c>
      <c r="R38" s="26">
        <f>'TR TE'!$R$38*'TR TE'!$R$48</f>
        <v>163.17420280788755</v>
      </c>
      <c r="S38" s="26">
        <f>SUM($R$38:$R$38)</f>
        <v>163.17420280788755</v>
      </c>
      <c r="T38" s="26">
        <f>'TR TE'!$T$38*'TR TE'!$T$48</f>
        <v>0</v>
      </c>
      <c r="U38" s="26">
        <f>'TR TE'!$U$38*'TR TE'!$U$48</f>
        <v>0</v>
      </c>
      <c r="V38" s="26">
        <f>'TR TE'!$V$38*'TR TE'!$V$48</f>
        <v>0</v>
      </c>
      <c r="W38" s="26">
        <f>SUM($T$38:$V$38)</f>
        <v>0</v>
      </c>
      <c r="X38" s="26"/>
      <c r="Y38" s="26">
        <f>SUM($X$38:$X$38)</f>
        <v>0</v>
      </c>
      <c r="Z38" s="26">
        <f>'TR TE'!$Z$38*'TR TE'!$Z$48</f>
        <v>6.5942396789608733</v>
      </c>
      <c r="AA38" s="26">
        <f>SUM($Z$38:$Z$38)</f>
        <v>6.5942396789608733</v>
      </c>
      <c r="AB38" s="26">
        <f>SUMIF($L$4:$AA$4,"SUBTOTAL",$L$38:$AA$38)</f>
        <v>185.12982157710366</v>
      </c>
    </row>
    <row r="39" spans="1:28" ht="11.25" customHeight="1" x14ac:dyDescent="0.3">
      <c r="A39" s="103"/>
      <c r="B39" s="28" t="s">
        <v>87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79</v>
      </c>
      <c r="H39" s="29" t="s">
        <v>72</v>
      </c>
      <c r="I39" s="29">
        <f>'MERCADO TE'!$U$36</f>
        <v>0</v>
      </c>
      <c r="J39" s="15"/>
      <c r="L39" s="26">
        <f>'TR TE'!$L$39*'TR TE'!$L$48</f>
        <v>0</v>
      </c>
      <c r="M39" s="26">
        <f>'TR TE'!$M$39*'TR TE'!$M$48</f>
        <v>29.207314843259386</v>
      </c>
      <c r="N39" s="26">
        <f>'TR TE'!$N$39*'TR TE'!$N$48</f>
        <v>0</v>
      </c>
      <c r="O39" s="26">
        <f>'TR TE'!$O$39*'TR TE'!$O$48</f>
        <v>0</v>
      </c>
      <c r="P39" s="26">
        <f>'TR TE'!$P$39*'TR TE'!$P$48</f>
        <v>-13.84593575300415</v>
      </c>
      <c r="Q39" s="26">
        <f>SUM($L$39:$P$39)</f>
        <v>15.361379090255236</v>
      </c>
      <c r="R39" s="26">
        <f>'TR TE'!$R$39*'TR TE'!$R$48</f>
        <v>163.17420280788755</v>
      </c>
      <c r="S39" s="26">
        <f>SUM($R$39:$R$39)</f>
        <v>163.17420280788755</v>
      </c>
      <c r="T39" s="26">
        <f>'TR TE'!$T$39*'TR TE'!$T$48</f>
        <v>0</v>
      </c>
      <c r="U39" s="26">
        <f>'TR TE'!$U$39*'TR TE'!$U$48</f>
        <v>0</v>
      </c>
      <c r="V39" s="26">
        <f>'TR TE'!$V$39*'TR TE'!$V$48</f>
        <v>0</v>
      </c>
      <c r="W39" s="26">
        <f>SUM($T$39:$V$39)</f>
        <v>0</v>
      </c>
      <c r="X39" s="26"/>
      <c r="Y39" s="26">
        <f>SUM($X$39:$X$39)</f>
        <v>0</v>
      </c>
      <c r="Z39" s="26">
        <f>'TR TE'!$Z$39*'TR TE'!$Z$48</f>
        <v>6.5942396789608733</v>
      </c>
      <c r="AA39" s="26">
        <f>SUM($Z$39:$Z$39)</f>
        <v>6.5942396789608733</v>
      </c>
      <c r="AB39" s="26">
        <f>SUMIF($L$4:$AA$4,"SUBTOTAL",$L$39:$AA$39)</f>
        <v>185.12982157710366</v>
      </c>
    </row>
    <row r="40" spans="1:28" ht="11.25" customHeight="1" x14ac:dyDescent="0.3">
      <c r="A40" s="103" t="s">
        <v>45</v>
      </c>
      <c r="B40" s="103" t="s">
        <v>86</v>
      </c>
      <c r="C40" s="103" t="s">
        <v>46</v>
      </c>
      <c r="D40" s="28" t="s">
        <v>47</v>
      </c>
      <c r="E40" s="28" t="s">
        <v>25</v>
      </c>
      <c r="F40" s="28" t="s">
        <v>25</v>
      </c>
      <c r="G40" s="29" t="s">
        <v>79</v>
      </c>
      <c r="H40" s="29" t="s">
        <v>72</v>
      </c>
      <c r="I40" s="29">
        <f>'MERCADO TE'!$U$37</f>
        <v>1210.0279999999998</v>
      </c>
      <c r="J40" s="15"/>
      <c r="L40" s="26">
        <f>'TR TE'!$L$40*'TR TE'!$L$48</f>
        <v>0</v>
      </c>
      <c r="M40" s="26">
        <f>'TR TE'!$M$40*'TR TE'!$M$48</f>
        <v>16.064023163792665</v>
      </c>
      <c r="N40" s="26">
        <f>'TR TE'!$N$40*'TR TE'!$N$48</f>
        <v>0</v>
      </c>
      <c r="O40" s="26">
        <f>'TR TE'!$O$40*'TR TE'!$O$48</f>
        <v>0</v>
      </c>
      <c r="P40" s="26">
        <f>'TR TE'!$P$40*'TR TE'!$P$48</f>
        <v>-7.6152646641522832</v>
      </c>
      <c r="Q40" s="26">
        <f>SUM($L$40:$P$40)</f>
        <v>8.4487584996403822</v>
      </c>
      <c r="R40" s="26">
        <f>'TR TE'!$R$40*'TR TE'!$R$48</f>
        <v>89.745811544338167</v>
      </c>
      <c r="S40" s="26">
        <f>SUM($R$40:$R$40)</f>
        <v>89.745811544338167</v>
      </c>
      <c r="T40" s="26">
        <f>'TR TE'!$T$40*'TR TE'!$T$48</f>
        <v>0</v>
      </c>
      <c r="U40" s="26">
        <f>'TR TE'!$U$40*'TR TE'!$U$48</f>
        <v>0</v>
      </c>
      <c r="V40" s="26">
        <f>'TR TE'!$V$40*'TR TE'!$V$48</f>
        <v>0</v>
      </c>
      <c r="W40" s="26">
        <f>SUM($T$40:$V$40)</f>
        <v>0</v>
      </c>
      <c r="X40" s="26"/>
      <c r="Y40" s="26">
        <f>SUM($X$40:$X$40)</f>
        <v>0</v>
      </c>
      <c r="Z40" s="26">
        <f>'TR TE'!$Z$40*'TR TE'!$Z$48</f>
        <v>3.6268318234284807</v>
      </c>
      <c r="AA40" s="26">
        <f>SUM($Z$40:$Z$40)</f>
        <v>3.6268318234284807</v>
      </c>
      <c r="AB40" s="26">
        <f>SUMIF($L$4:$AA$4,"SUBTOTAL",$L$40:$AA$40)</f>
        <v>101.82140186740702</v>
      </c>
    </row>
    <row r="41" spans="1:28" ht="11.25" customHeight="1" x14ac:dyDescent="0.3">
      <c r="A41" s="103"/>
      <c r="B41" s="103"/>
      <c r="C41" s="103"/>
      <c r="D41" s="29" t="s">
        <v>91</v>
      </c>
      <c r="E41" s="29" t="s">
        <v>25</v>
      </c>
      <c r="F41" s="29" t="s">
        <v>25</v>
      </c>
      <c r="G41" s="29" t="s">
        <v>79</v>
      </c>
      <c r="H41" s="29" t="s">
        <v>72</v>
      </c>
      <c r="I41" s="29">
        <f>'MERCADO TE'!$U$38</f>
        <v>0</v>
      </c>
      <c r="J41" s="15"/>
      <c r="L41" s="26">
        <f>'TR TE'!$L$41*'TR TE'!$L$48</f>
        <v>0</v>
      </c>
      <c r="M41" s="26">
        <f>'TR TE'!$M$41*'TR TE'!$M$48</f>
        <v>17.524388905955632</v>
      </c>
      <c r="N41" s="26">
        <f>'TR TE'!$N$41*'TR TE'!$N$48</f>
        <v>0</v>
      </c>
      <c r="O41" s="26">
        <f>'TR TE'!$O$41*'TR TE'!$O$48</f>
        <v>0</v>
      </c>
      <c r="P41" s="26">
        <f>'TR TE'!$P$41*'TR TE'!$P$48</f>
        <v>-8.3075614518024903</v>
      </c>
      <c r="Q41" s="26">
        <f>SUM($L$41:$P$41)</f>
        <v>9.2168274541531421</v>
      </c>
      <c r="R41" s="26">
        <f>'TR TE'!$R$41*'TR TE'!$R$48</f>
        <v>97.904521684732529</v>
      </c>
      <c r="S41" s="26">
        <f>SUM($R$41:$R$41)</f>
        <v>97.904521684732529</v>
      </c>
      <c r="T41" s="26">
        <f>'TR TE'!$T$41*'TR TE'!$T$48</f>
        <v>0</v>
      </c>
      <c r="U41" s="26">
        <f>'TR TE'!$U$41*'TR TE'!$U$48</f>
        <v>0</v>
      </c>
      <c r="V41" s="26">
        <f>'TR TE'!$V$41*'TR TE'!$V$48</f>
        <v>0</v>
      </c>
      <c r="W41" s="26">
        <f>SUM($T$41:$V$41)</f>
        <v>0</v>
      </c>
      <c r="X41" s="26"/>
      <c r="Y41" s="26">
        <f>SUM($X$41:$X$41)</f>
        <v>0</v>
      </c>
      <c r="Z41" s="26">
        <f>'TR TE'!$Z$41*'TR TE'!$Z$48</f>
        <v>3.9565438073765238</v>
      </c>
      <c r="AA41" s="26">
        <f>SUM($Z$41:$Z$41)</f>
        <v>3.9565438073765238</v>
      </c>
      <c r="AB41" s="26">
        <f>SUMIF($L$4:$AA$4,"SUBTOTAL",$L$41:$AA$41)</f>
        <v>111.0778929462622</v>
      </c>
    </row>
    <row r="43" spans="1:28" ht="11.25" customHeight="1" x14ac:dyDescent="0.3">
      <c r="K43" s="31" t="s">
        <v>546</v>
      </c>
      <c r="L43" s="26">
        <f t="shared" ref="L43:AB43" si="0">SUMPRODUCT($I$5:$I$41,L$5:L$41)</f>
        <v>0</v>
      </c>
      <c r="M43" s="26">
        <f t="shared" si="0"/>
        <v>1190477.8099999996</v>
      </c>
      <c r="N43" s="26">
        <f t="shared" si="0"/>
        <v>0</v>
      </c>
      <c r="O43" s="26">
        <f t="shared" si="0"/>
        <v>0</v>
      </c>
      <c r="P43" s="26">
        <f t="shared" si="0"/>
        <v>-564354.49</v>
      </c>
      <c r="Q43" s="26">
        <f t="shared" si="0"/>
        <v>626123.31999999983</v>
      </c>
      <c r="R43" s="26">
        <f t="shared" si="0"/>
        <v>6650911.5490313927</v>
      </c>
      <c r="S43" s="26">
        <f t="shared" si="0"/>
        <v>6650911.5490313927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268778.42258875689</v>
      </c>
      <c r="AA43" s="26">
        <f t="shared" si="0"/>
        <v>268778.42258875689</v>
      </c>
      <c r="AB43" s="26">
        <f t="shared" si="0"/>
        <v>7545813.2916201474</v>
      </c>
    </row>
    <row r="44" spans="1:28" ht="11.25" customHeight="1" x14ac:dyDescent="0.3">
      <c r="K44" s="31" t="s">
        <v>465</v>
      </c>
      <c r="L44" s="26">
        <f>CUSTOS!$D$30</f>
        <v>0</v>
      </c>
      <c r="M44" s="26">
        <f>CUSTOS!$D$31</f>
        <v>1190477.8099999998</v>
      </c>
      <c r="N44" s="26">
        <f>CUSTOS!$D$32</f>
        <v>0</v>
      </c>
      <c r="O44" s="26">
        <f>CUSTOS!$D$33</f>
        <v>0</v>
      </c>
      <c r="P44" s="26">
        <f>CUSTOS!$D$34</f>
        <v>-564354.49</v>
      </c>
      <c r="Q44" s="26">
        <f>CUSTOS!$D$35</f>
        <v>626123.31999999983</v>
      </c>
      <c r="R44" s="26">
        <f>CUSTOS!$D$36</f>
        <v>6650911.5490313908</v>
      </c>
      <c r="S44" s="26">
        <f>CUSTOS!$D$37</f>
        <v>6650911.5490313908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268778.42258875689</v>
      </c>
      <c r="AA44" s="26">
        <f>CUSTOS!$D$45</f>
        <v>268778.42258875689</v>
      </c>
      <c r="AB44" s="26">
        <f>CUSTOS!$D$46</f>
        <v>7545813.2916201474</v>
      </c>
    </row>
    <row r="45" spans="1:28" ht="11.25" customHeight="1" x14ac:dyDescent="0.3">
      <c r="K45" s="31" t="s">
        <v>466</v>
      </c>
      <c r="L45" s="26">
        <f>CUSTOS!$E$30</f>
        <v>0</v>
      </c>
      <c r="M45" s="26">
        <f>CUSTOS!$E$31</f>
        <v>140497.53145800333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140497.53145800333</v>
      </c>
      <c r="R45" s="26">
        <f>CUSTOS!$E$36</f>
        <v>95226.414922554279</v>
      </c>
      <c r="S45" s="26">
        <f>CUSTOS!$E$37</f>
        <v>95226.414922554279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3848.3154381137597</v>
      </c>
      <c r="AA45" s="26">
        <f>CUSTOS!$E$45</f>
        <v>3848.3154381137597</v>
      </c>
      <c r="AB45" s="26">
        <f>CUSTOS!$E$46</f>
        <v>239572.26181867137</v>
      </c>
    </row>
    <row r="46" spans="1:28" ht="11.25" customHeight="1" x14ac:dyDescent="0.3">
      <c r="K46" s="31" t="s">
        <v>467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3">
      <c r="K47" s="31" t="s">
        <v>547</v>
      </c>
      <c r="L47" s="26">
        <f>'TR TE'!$L$47*L48</f>
        <v>0</v>
      </c>
      <c r="M47" s="26">
        <f>'TR TE'!$M$47*M48</f>
        <v>3.446982044961127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2.3411974546560019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9.4414998476254064E-2</v>
      </c>
      <c r="AA47" s="26"/>
      <c r="AB47" s="26"/>
    </row>
    <row r="48" spans="1:28" ht="11.25" customHeight="1" x14ac:dyDescent="0.3">
      <c r="K48" s="31" t="s">
        <v>534</v>
      </c>
      <c r="L48" s="26">
        <f>IF(L44&lt;&gt;0,L45/L44,0)</f>
        <v>0</v>
      </c>
      <c r="M48" s="26">
        <f>IF(M44&lt;&gt;0,M45/M44,0)</f>
        <v>0.11801776587335412</v>
      </c>
      <c r="N48" s="26">
        <f>IF(N44&lt;&gt;0,N45/N44,0)</f>
        <v>0</v>
      </c>
      <c r="O48" s="26">
        <f>IF(O44&lt;&gt;0,O45/O44,0)</f>
        <v>0</v>
      </c>
      <c r="P48" s="26">
        <f>IF(P44&lt;&gt;0,P45/P44,0)</f>
        <v>0</v>
      </c>
      <c r="Q48" s="26"/>
      <c r="R48" s="26">
        <f>IF(R44&lt;&gt;0,R45/R44,0)</f>
        <v>1.4317799029581536E-2</v>
      </c>
      <c r="S48" s="26"/>
      <c r="T48" s="26">
        <f>IF(T44&lt;&gt;0,T45/T44,0)</f>
        <v>0</v>
      </c>
      <c r="U48" s="26">
        <f>IF(U44&lt;&gt;0,U45/U44,0)</f>
        <v>0</v>
      </c>
      <c r="V48" s="26">
        <f>IF(V44&lt;&gt;0,V45/V44,0)</f>
        <v>0</v>
      </c>
      <c r="W48" s="26"/>
      <c r="X48" s="26">
        <f>IF(($AB44-0)&lt;&gt;0,X45/($AB44-0),0)</f>
        <v>0</v>
      </c>
      <c r="Y48" s="26"/>
      <c r="Z48" s="26">
        <f>IF(Z44&lt;&gt;0,Z45/Z44,0)</f>
        <v>1.4317799029581538E-2</v>
      </c>
      <c r="AA48" s="26"/>
      <c r="AB48" s="26"/>
    </row>
    <row r="49" spans="11:28" ht="11.25" customHeight="1" x14ac:dyDescent="0.3">
      <c r="K49" s="31" t="s">
        <v>549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80" priority="33" operator="notEqual">
      <formula>$L$44</formula>
    </cfRule>
    <cfRule type="cellIs" dxfId="679" priority="34" operator="equal">
      <formula>$L$44</formula>
    </cfRule>
  </conditionalFormatting>
  <conditionalFormatting sqref="M43">
    <cfRule type="cellIs" dxfId="678" priority="31" operator="notEqual">
      <formula>$M$44</formula>
    </cfRule>
    <cfRule type="cellIs" dxfId="677" priority="32" operator="equal">
      <formula>$M$44</formula>
    </cfRule>
  </conditionalFormatting>
  <conditionalFormatting sqref="N43">
    <cfRule type="cellIs" dxfId="676" priority="29" operator="notEqual">
      <formula>$N$44</formula>
    </cfRule>
    <cfRule type="cellIs" dxfId="675" priority="30" operator="equal">
      <formula>$N$44</formula>
    </cfRule>
  </conditionalFormatting>
  <conditionalFormatting sqref="O43">
    <cfRule type="cellIs" dxfId="674" priority="27" operator="notEqual">
      <formula>$O$44</formula>
    </cfRule>
    <cfRule type="cellIs" dxfId="673" priority="28" operator="equal">
      <formula>$O$44</formula>
    </cfRule>
  </conditionalFormatting>
  <conditionalFormatting sqref="P43">
    <cfRule type="cellIs" dxfId="672" priority="25" operator="notEqual">
      <formula>$P$44</formula>
    </cfRule>
    <cfRule type="cellIs" dxfId="671" priority="26" operator="equal">
      <formula>$P$44</formula>
    </cfRule>
  </conditionalFormatting>
  <conditionalFormatting sqref="Q43">
    <cfRule type="cellIs" dxfId="670" priority="23" operator="notEqual">
      <formula>$Q$44</formula>
    </cfRule>
    <cfRule type="cellIs" dxfId="669" priority="24" operator="equal">
      <formula>$Q$44</formula>
    </cfRule>
  </conditionalFormatting>
  <conditionalFormatting sqref="R43">
    <cfRule type="cellIs" dxfId="668" priority="21" operator="notEqual">
      <formula>$R$44</formula>
    </cfRule>
    <cfRule type="cellIs" dxfId="667" priority="22" operator="equal">
      <formula>$R$44</formula>
    </cfRule>
  </conditionalFormatting>
  <conditionalFormatting sqref="S43">
    <cfRule type="cellIs" dxfId="666" priority="19" operator="notEqual">
      <formula>$S$44</formula>
    </cfRule>
    <cfRule type="cellIs" dxfId="665" priority="20" operator="equal">
      <formula>$S$44</formula>
    </cfRule>
  </conditionalFormatting>
  <conditionalFormatting sqref="T43">
    <cfRule type="cellIs" dxfId="664" priority="17" operator="notEqual">
      <formula>$T$44</formula>
    </cfRule>
    <cfRule type="cellIs" dxfId="663" priority="18" operator="equal">
      <formula>$T$44</formula>
    </cfRule>
  </conditionalFormatting>
  <conditionalFormatting sqref="U43">
    <cfRule type="cellIs" dxfId="662" priority="15" operator="notEqual">
      <formula>$U$44</formula>
    </cfRule>
    <cfRule type="cellIs" dxfId="661" priority="16" operator="equal">
      <formula>$U$44</formula>
    </cfRule>
  </conditionalFormatting>
  <conditionalFormatting sqref="V43">
    <cfRule type="cellIs" dxfId="660" priority="13" operator="notEqual">
      <formula>$V$44</formula>
    </cfRule>
    <cfRule type="cellIs" dxfId="659" priority="14" operator="equal">
      <formula>$V$44</formula>
    </cfRule>
  </conditionalFormatting>
  <conditionalFormatting sqref="W43">
    <cfRule type="cellIs" dxfId="658" priority="11" operator="notEqual">
      <formula>$W$44</formula>
    </cfRule>
    <cfRule type="cellIs" dxfId="657" priority="12" operator="equal">
      <formula>$W$44</formula>
    </cfRule>
  </conditionalFormatting>
  <conditionalFormatting sqref="X43">
    <cfRule type="cellIs" dxfId="656" priority="9" operator="notEqual">
      <formula>$X$44</formula>
    </cfRule>
    <cfRule type="cellIs" dxfId="655" priority="10" operator="equal">
      <formula>$X$44</formula>
    </cfRule>
  </conditionalFormatting>
  <conditionalFormatting sqref="Y43">
    <cfRule type="cellIs" dxfId="654" priority="7" operator="notEqual">
      <formula>$Y$44</formula>
    </cfRule>
    <cfRule type="cellIs" dxfId="653" priority="8" operator="equal">
      <formula>$Y$44</formula>
    </cfRule>
  </conditionalFormatting>
  <conditionalFormatting sqref="Z43">
    <cfRule type="cellIs" dxfId="652" priority="5" operator="notEqual">
      <formula>$Z$44</formula>
    </cfRule>
    <cfRule type="cellIs" dxfId="651" priority="6" operator="equal">
      <formula>$Z$44</formula>
    </cfRule>
  </conditionalFormatting>
  <conditionalFormatting sqref="AA43">
    <cfRule type="cellIs" dxfId="650" priority="3" operator="notEqual">
      <formula>$AA$44</formula>
    </cfRule>
    <cfRule type="cellIs" dxfId="649" priority="4" operator="equal">
      <formula>$AA$44</formula>
    </cfRule>
  </conditionalFormatting>
  <conditionalFormatting sqref="AB43">
    <cfRule type="cellIs" dxfId="648" priority="1" operator="notEqual">
      <formula>$AB$44</formula>
    </cfRule>
    <cfRule type="cellIs" dxfId="647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39789-B5C4-43D6-AFF9-0E71B1886945}">
  <dimension ref="A1:AB49"/>
  <sheetViews>
    <sheetView showGridLines="0" topLeftCell="L1" workbookViewId="0">
      <selection activeCell="AB43" sqref="AB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20" style="9" bestFit="1" customWidth="1"/>
    <col min="12" max="12" width="7.88671875" style="9" bestFit="1" customWidth="1"/>
    <col min="13" max="13" width="10" style="9" bestFit="1" customWidth="1"/>
    <col min="14" max="14" width="7.88671875" style="9" bestFit="1" customWidth="1"/>
    <col min="15" max="15" width="11.109375" style="9" bestFit="1" customWidth="1"/>
    <col min="16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102" t="s">
        <v>62</v>
      </c>
      <c r="B1" s="102" t="s">
        <v>63</v>
      </c>
      <c r="C1" s="102" t="s">
        <v>64</v>
      </c>
      <c r="D1" s="102" t="s">
        <v>65</v>
      </c>
      <c r="E1" s="102" t="s">
        <v>66</v>
      </c>
      <c r="F1" s="102" t="s">
        <v>15</v>
      </c>
      <c r="G1" s="102" t="s">
        <v>68</v>
      </c>
      <c r="H1" s="102" t="s">
        <v>69</v>
      </c>
      <c r="I1" s="102" t="s">
        <v>524</v>
      </c>
      <c r="J1" s="85"/>
      <c r="L1" s="100" t="s">
        <v>551</v>
      </c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 spans="1:28" ht="11.25" customHeight="1" x14ac:dyDescent="0.3">
      <c r="A2" s="102"/>
      <c r="B2" s="102"/>
      <c r="C2" s="102"/>
      <c r="D2" s="102"/>
      <c r="E2" s="102"/>
      <c r="F2" s="102"/>
      <c r="G2" s="102"/>
      <c r="H2" s="102"/>
      <c r="I2" s="102"/>
      <c r="J2" s="85"/>
      <c r="L2" s="100" t="s">
        <v>451</v>
      </c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</row>
    <row r="3" spans="1:28" ht="11.25" customHeight="1" x14ac:dyDescent="0.3">
      <c r="A3" s="102"/>
      <c r="B3" s="102"/>
      <c r="C3" s="102"/>
      <c r="D3" s="102"/>
      <c r="E3" s="102"/>
      <c r="F3" s="102"/>
      <c r="G3" s="102"/>
      <c r="H3" s="102"/>
      <c r="I3" s="102"/>
      <c r="J3" s="85"/>
      <c r="L3" s="100" t="s">
        <v>424</v>
      </c>
      <c r="M3" s="100"/>
      <c r="N3" s="100"/>
      <c r="O3" s="100"/>
      <c r="P3" s="100"/>
      <c r="Q3" s="100"/>
      <c r="R3" s="100" t="s">
        <v>455</v>
      </c>
      <c r="S3" s="100"/>
      <c r="T3" s="100" t="s">
        <v>433</v>
      </c>
      <c r="U3" s="100"/>
      <c r="V3" s="100"/>
      <c r="W3" s="100"/>
      <c r="X3" s="100" t="s">
        <v>443</v>
      </c>
      <c r="Y3" s="100"/>
      <c r="Z3" s="100" t="s">
        <v>446</v>
      </c>
      <c r="AA3" s="100"/>
      <c r="AB3" s="100" t="s">
        <v>432</v>
      </c>
    </row>
    <row r="4" spans="1:28" ht="11.25" customHeight="1" x14ac:dyDescent="0.3">
      <c r="A4" s="102"/>
      <c r="B4" s="102"/>
      <c r="C4" s="102"/>
      <c r="D4" s="102"/>
      <c r="E4" s="102"/>
      <c r="F4" s="102"/>
      <c r="G4" s="102"/>
      <c r="H4" s="102"/>
      <c r="I4" s="102"/>
      <c r="J4" s="85"/>
      <c r="L4" s="30" t="s">
        <v>426</v>
      </c>
      <c r="M4" s="30" t="s">
        <v>452</v>
      </c>
      <c r="N4" s="30" t="s">
        <v>453</v>
      </c>
      <c r="O4" s="30" t="s">
        <v>512</v>
      </c>
      <c r="P4" s="30" t="s">
        <v>454</v>
      </c>
      <c r="Q4" s="30" t="s">
        <v>432</v>
      </c>
      <c r="R4" s="30" t="s">
        <v>456</v>
      </c>
      <c r="S4" s="30" t="s">
        <v>432</v>
      </c>
      <c r="T4" s="30" t="s">
        <v>457</v>
      </c>
      <c r="U4" s="30" t="s">
        <v>458</v>
      </c>
      <c r="V4" s="30" t="s">
        <v>459</v>
      </c>
      <c r="W4" s="30" t="s">
        <v>432</v>
      </c>
      <c r="X4" s="30" t="s">
        <v>444</v>
      </c>
      <c r="Y4" s="30" t="s">
        <v>432</v>
      </c>
      <c r="Z4" s="30" t="s">
        <v>460</v>
      </c>
      <c r="AA4" s="30" t="s">
        <v>432</v>
      </c>
      <c r="AB4" s="101"/>
    </row>
    <row r="5" spans="1:28" ht="11.25" customHeight="1" x14ac:dyDescent="0.3">
      <c r="A5" s="103" t="s">
        <v>35</v>
      </c>
      <c r="B5" s="103" t="s">
        <v>71</v>
      </c>
      <c r="C5" s="103" t="s">
        <v>25</v>
      </c>
      <c r="D5" s="103" t="s">
        <v>25</v>
      </c>
      <c r="E5" s="103" t="s">
        <v>25</v>
      </c>
      <c r="F5" s="103" t="s">
        <v>25</v>
      </c>
      <c r="G5" s="29" t="s">
        <v>73</v>
      </c>
      <c r="H5" s="29" t="s">
        <v>72</v>
      </c>
      <c r="I5" s="29">
        <f>'MERCADO TE'!$U$2</f>
        <v>1557.202</v>
      </c>
      <c r="J5" s="15"/>
      <c r="L5" s="26">
        <f>'TE BE'!$L$5*'TE BE'!$L$48</f>
        <v>0</v>
      </c>
      <c r="M5" s="26">
        <f>'TE BE'!$M$5*'TE BE'!$M$48</f>
        <v>3.446982044961127</v>
      </c>
      <c r="N5" s="26">
        <f>'TE BE'!$N$5*'TE BE'!$N$48</f>
        <v>0</v>
      </c>
      <c r="O5" s="26">
        <f>'TE BE'!$O$5*'TE BE'!$O$48</f>
        <v>0</v>
      </c>
      <c r="P5" s="26">
        <f>'TE BE'!$P$5*'TE BE'!$P$48</f>
        <v>0</v>
      </c>
      <c r="Q5" s="26">
        <f>SUM($L$5:$P$5)</f>
        <v>3.446982044961127</v>
      </c>
      <c r="R5" s="26">
        <f>'TE BE'!$R$5*'TE BE'!$R$48</f>
        <v>2.3362954426155134</v>
      </c>
      <c r="S5" s="26">
        <f>SUM($R$5:$R$5)</f>
        <v>2.3362954426155134</v>
      </c>
      <c r="T5" s="26">
        <f>'TE BE'!$T$5*'TE BE'!$T$48</f>
        <v>0</v>
      </c>
      <c r="U5" s="26">
        <f>'TE BE'!$U$5*'TE BE'!$U$48</f>
        <v>0</v>
      </c>
      <c r="V5" s="26">
        <f>'TE BE'!$V$5*'TE BE'!$V$48</f>
        <v>0</v>
      </c>
      <c r="W5" s="26">
        <f>SUM($T$5:$V$5)</f>
        <v>0</v>
      </c>
      <c r="X5" s="26">
        <f>'TE BE'!$AB$5*'TE BE'!$X$48</f>
        <v>0</v>
      </c>
      <c r="Y5" s="26">
        <f>SUM($X$5:$X$5)</f>
        <v>0</v>
      </c>
      <c r="Z5" s="26">
        <f>'TE BE'!$Z$5*'TE BE'!$Z$48</f>
        <v>9.4414998476254064E-2</v>
      </c>
      <c r="AA5" s="26">
        <f>SUM($Z$5:$Z$5)</f>
        <v>9.4414998476254064E-2</v>
      </c>
      <c r="AB5" s="26">
        <f>SUMIF($L$4:$AA$4,"SUBTOTAL",$L$5:$AA$5)</f>
        <v>5.8776924860528945</v>
      </c>
    </row>
    <row r="6" spans="1:28" ht="11.25" customHeight="1" x14ac:dyDescent="0.3">
      <c r="A6" s="103"/>
      <c r="B6" s="103"/>
      <c r="C6" s="103"/>
      <c r="D6" s="103"/>
      <c r="E6" s="103"/>
      <c r="F6" s="103"/>
      <c r="G6" s="29" t="s">
        <v>74</v>
      </c>
      <c r="H6" s="29" t="s">
        <v>72</v>
      </c>
      <c r="I6" s="29">
        <f>'MERCADO TE'!$U$3</f>
        <v>23427.474000000002</v>
      </c>
      <c r="J6" s="15"/>
      <c r="L6" s="26">
        <f>'TE BE'!$L$6*'TE BE'!$L$48</f>
        <v>0</v>
      </c>
      <c r="M6" s="26">
        <f>'TE BE'!$M$6*'TE BE'!$M$48</f>
        <v>3.446982044961127</v>
      </c>
      <c r="N6" s="26">
        <f>'TE BE'!$N$6*'TE BE'!$N$48</f>
        <v>0</v>
      </c>
      <c r="O6" s="26">
        <f>'TE BE'!$O$6*'TE BE'!$O$48</f>
        <v>0</v>
      </c>
      <c r="P6" s="26">
        <f>'TE BE'!$P$6*'TE BE'!$P$48</f>
        <v>0</v>
      </c>
      <c r="Q6" s="26">
        <f>SUM($L$6:$P$6)</f>
        <v>3.446982044961127</v>
      </c>
      <c r="R6" s="26">
        <f>'TE BE'!$R$6*'TE BE'!$R$48</f>
        <v>2.3362954426155134</v>
      </c>
      <c r="S6" s="26">
        <f>SUM($R$6:$R$6)</f>
        <v>2.3362954426155134</v>
      </c>
      <c r="T6" s="26">
        <f>'TE BE'!$T$6*'TE BE'!$T$48</f>
        <v>0</v>
      </c>
      <c r="U6" s="26">
        <f>'TE BE'!$U$6*'TE BE'!$U$48</f>
        <v>0</v>
      </c>
      <c r="V6" s="26">
        <f>'TE BE'!$V$6*'TE BE'!$V$48</f>
        <v>0</v>
      </c>
      <c r="W6" s="26">
        <f>SUM($T$6:$V$6)</f>
        <v>0</v>
      </c>
      <c r="X6" s="26">
        <f>'TE BE'!$AB$6*'TE BE'!$X$48</f>
        <v>0</v>
      </c>
      <c r="Y6" s="26">
        <f>SUM($X$6:$X$6)</f>
        <v>0</v>
      </c>
      <c r="Z6" s="26">
        <f>'TE BE'!$Z$6*'TE BE'!$Z$48</f>
        <v>9.4414998476254064E-2</v>
      </c>
      <c r="AA6" s="26">
        <f>SUM($Z$6:$Z$6)</f>
        <v>9.4414998476254064E-2</v>
      </c>
      <c r="AB6" s="26">
        <f>SUMIF($L$4:$AA$4,"SUBTOTAL",$L$6:$AA$6)</f>
        <v>5.8776924860528945</v>
      </c>
    </row>
    <row r="7" spans="1:28" ht="11.25" customHeight="1" x14ac:dyDescent="0.3">
      <c r="A7" s="103" t="s">
        <v>22</v>
      </c>
      <c r="B7" s="103" t="s">
        <v>71</v>
      </c>
      <c r="C7" s="103" t="s">
        <v>24</v>
      </c>
      <c r="D7" s="103" t="s">
        <v>24</v>
      </c>
      <c r="E7" s="103" t="s">
        <v>25</v>
      </c>
      <c r="F7" s="103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'TE BE'!$L$7*'TE BE'!$L$48</f>
        <v>0</v>
      </c>
      <c r="M7" s="26">
        <f>'TE BE'!$M$7*'TE BE'!$M$48</f>
        <v>3.446982044961127</v>
      </c>
      <c r="N7" s="26">
        <f>'TE BE'!$N$7*'TE BE'!$N$48</f>
        <v>0</v>
      </c>
      <c r="O7" s="26">
        <f>'TE BE'!$O$7*'TE BE'!$O$48</f>
        <v>0</v>
      </c>
      <c r="P7" s="26">
        <f>'TE BE'!$P$7*'TE BE'!$P$48</f>
        <v>0</v>
      </c>
      <c r="Q7" s="26">
        <f>SUM($L$7:$P$7)</f>
        <v>3.446982044961127</v>
      </c>
      <c r="R7" s="26">
        <f>'TE BE'!$R$7*'TE BE'!$R$48</f>
        <v>2.3362954426155134</v>
      </c>
      <c r="S7" s="26">
        <f>SUM($R$7:$R$7)</f>
        <v>2.3362954426155134</v>
      </c>
      <c r="T7" s="26">
        <f>'TE BE'!$T$7*'TE BE'!$T$48</f>
        <v>0</v>
      </c>
      <c r="U7" s="26">
        <f>'TE BE'!$U$7*'TE BE'!$U$48</f>
        <v>0</v>
      </c>
      <c r="V7" s="26">
        <f>'TE BE'!$V$7*'TE BE'!$V$48</f>
        <v>0</v>
      </c>
      <c r="W7" s="26">
        <f>SUM($T$7:$V$7)</f>
        <v>0</v>
      </c>
      <c r="X7" s="26">
        <f>'TE BE'!$AB$7*'TE BE'!$X$48</f>
        <v>0</v>
      </c>
      <c r="Y7" s="26">
        <f>SUM($X$7:$X$7)</f>
        <v>0</v>
      </c>
      <c r="Z7" s="26">
        <f>'TE BE'!$Z$7*'TE BE'!$Z$48</f>
        <v>9.4414998476254064E-2</v>
      </c>
      <c r="AA7" s="26">
        <f>SUM($Z$7:$Z$7)</f>
        <v>9.4414998476254064E-2</v>
      </c>
      <c r="AB7" s="26">
        <f>SUMIF($L$4:$AA$4,"SUBTOTAL",$L$7:$AA$7)</f>
        <v>5.8776924860528945</v>
      </c>
    </row>
    <row r="8" spans="1:28" ht="11.25" customHeight="1" x14ac:dyDescent="0.3">
      <c r="A8" s="103"/>
      <c r="B8" s="103"/>
      <c r="C8" s="103"/>
      <c r="D8" s="103"/>
      <c r="E8" s="103"/>
      <c r="F8" s="103"/>
      <c r="G8" s="29" t="s">
        <v>85</v>
      </c>
      <c r="H8" s="29" t="s">
        <v>72</v>
      </c>
      <c r="I8" s="29">
        <f>'MERCADO TE'!$U$5</f>
        <v>0</v>
      </c>
      <c r="J8" s="15"/>
      <c r="L8" s="26">
        <f>'TE BE'!$L$8*'TE BE'!$L$48</f>
        <v>0</v>
      </c>
      <c r="M8" s="26">
        <f>'TE BE'!$M$8*'TE BE'!$M$48</f>
        <v>3.446982044961127</v>
      </c>
      <c r="N8" s="26">
        <f>'TE BE'!$N$8*'TE BE'!$N$48</f>
        <v>0</v>
      </c>
      <c r="O8" s="26">
        <f>'TE BE'!$O$8*'TE BE'!$O$48</f>
        <v>0</v>
      </c>
      <c r="P8" s="26">
        <f>'TE BE'!$P$8*'TE BE'!$P$48</f>
        <v>0</v>
      </c>
      <c r="Q8" s="26">
        <f>SUM($L$8:$P$8)</f>
        <v>3.446982044961127</v>
      </c>
      <c r="R8" s="26">
        <f>'TE BE'!$R$8*'TE BE'!$R$48</f>
        <v>2.3362954426155134</v>
      </c>
      <c r="S8" s="26">
        <f>SUM($R$8:$R$8)</f>
        <v>2.3362954426155134</v>
      </c>
      <c r="T8" s="26">
        <f>'TE BE'!$T$8*'TE BE'!$T$48</f>
        <v>0</v>
      </c>
      <c r="U8" s="26">
        <f>'TE BE'!$U$8*'TE BE'!$U$48</f>
        <v>0</v>
      </c>
      <c r="V8" s="26">
        <f>'TE BE'!$V$8*'TE BE'!$V$48</f>
        <v>0</v>
      </c>
      <c r="W8" s="26">
        <f>SUM($T$8:$V$8)</f>
        <v>0</v>
      </c>
      <c r="X8" s="26">
        <f>'TE BE'!$AB$8*'TE BE'!$X$48</f>
        <v>0</v>
      </c>
      <c r="Y8" s="26">
        <f>SUM($X$8:$X$8)</f>
        <v>0</v>
      </c>
      <c r="Z8" s="26">
        <f>'TE BE'!$Z$8*'TE BE'!$Z$48</f>
        <v>9.4414998476254064E-2</v>
      </c>
      <c r="AA8" s="26">
        <f>SUM($Z$8:$Z$8)</f>
        <v>9.4414998476254064E-2</v>
      </c>
      <c r="AB8" s="26">
        <f>SUMIF($L$4:$AA$4,"SUBTOTAL",$L$8:$AA$8)</f>
        <v>5.8776924860528945</v>
      </c>
    </row>
    <row r="9" spans="1:28" ht="11.25" customHeight="1" x14ac:dyDescent="0.3">
      <c r="A9" s="103"/>
      <c r="B9" s="103"/>
      <c r="C9" s="103"/>
      <c r="D9" s="103"/>
      <c r="E9" s="103"/>
      <c r="F9" s="103"/>
      <c r="G9" s="29" t="s">
        <v>74</v>
      </c>
      <c r="H9" s="29" t="s">
        <v>72</v>
      </c>
      <c r="I9" s="29">
        <f>'MERCADO TE'!$U$6</f>
        <v>0</v>
      </c>
      <c r="J9" s="15"/>
      <c r="L9" s="26">
        <f>'TE BE'!$L$9*'TE BE'!$L$48</f>
        <v>0</v>
      </c>
      <c r="M9" s="26">
        <f>'TE BE'!$M$9*'TE BE'!$M$48</f>
        <v>3.446982044961127</v>
      </c>
      <c r="N9" s="26">
        <f>'TE BE'!$N$9*'TE BE'!$N$48</f>
        <v>0</v>
      </c>
      <c r="O9" s="26">
        <f>'TE BE'!$O$9*'TE BE'!$O$48</f>
        <v>0</v>
      </c>
      <c r="P9" s="26">
        <f>'TE BE'!$P$9*'TE BE'!$P$48</f>
        <v>0</v>
      </c>
      <c r="Q9" s="26">
        <f>SUM($L$9:$P$9)</f>
        <v>3.446982044961127</v>
      </c>
      <c r="R9" s="26">
        <f>'TE BE'!$R$9*'TE BE'!$R$48</f>
        <v>2.3362954426155134</v>
      </c>
      <c r="S9" s="26">
        <f>SUM($R$9:$R$9)</f>
        <v>2.3362954426155134</v>
      </c>
      <c r="T9" s="26">
        <f>'TE BE'!$T$9*'TE BE'!$T$48</f>
        <v>0</v>
      </c>
      <c r="U9" s="26">
        <f>'TE BE'!$U$9*'TE BE'!$U$48</f>
        <v>0</v>
      </c>
      <c r="V9" s="26">
        <f>'TE BE'!$V$9*'TE BE'!$V$48</f>
        <v>0</v>
      </c>
      <c r="W9" s="26">
        <f>SUM($T$9:$V$9)</f>
        <v>0</v>
      </c>
      <c r="X9" s="26">
        <f>'TE BE'!$AB$9*'TE BE'!$X$48</f>
        <v>0</v>
      </c>
      <c r="Y9" s="26">
        <f>SUM($X$9:$X$9)</f>
        <v>0</v>
      </c>
      <c r="Z9" s="26">
        <f>'TE BE'!$Z$9*'TE BE'!$Z$48</f>
        <v>9.4414998476254064E-2</v>
      </c>
      <c r="AA9" s="26">
        <f>SUM($Z$9:$Z$9)</f>
        <v>9.4414998476254064E-2</v>
      </c>
      <c r="AB9" s="26">
        <f>SUMIF($L$4:$AA$4,"SUBTOTAL",$L$9:$AA$9)</f>
        <v>5.8776924860528945</v>
      </c>
    </row>
    <row r="10" spans="1:28" ht="11.25" customHeight="1" x14ac:dyDescent="0.3">
      <c r="A10" s="103"/>
      <c r="B10" s="103" t="s">
        <v>86</v>
      </c>
      <c r="C10" s="103" t="s">
        <v>24</v>
      </c>
      <c r="D10" s="28" t="s">
        <v>24</v>
      </c>
      <c r="E10" s="28" t="s">
        <v>25</v>
      </c>
      <c r="F10" s="28" t="s">
        <v>25</v>
      </c>
      <c r="G10" s="29" t="s">
        <v>79</v>
      </c>
      <c r="H10" s="29" t="s">
        <v>72</v>
      </c>
      <c r="I10" s="29">
        <f>'MERCADO TE'!$U$7</f>
        <v>5913.8329999999996</v>
      </c>
      <c r="J10" s="15"/>
      <c r="L10" s="26">
        <f>'TE BE'!$L$10*'TE BE'!$L$48</f>
        <v>0</v>
      </c>
      <c r="M10" s="26">
        <f>'TE BE'!$M$10*'TE BE'!$M$48</f>
        <v>3.446982044961127</v>
      </c>
      <c r="N10" s="26">
        <f>'TE BE'!$N$10*'TE BE'!$N$48</f>
        <v>0</v>
      </c>
      <c r="O10" s="26">
        <f>'TE BE'!$O$10*'TE BE'!$O$48</f>
        <v>0</v>
      </c>
      <c r="P10" s="26">
        <f>'TE BE'!$P$10*'TE BE'!$P$48</f>
        <v>0</v>
      </c>
      <c r="Q10" s="26">
        <f>SUM($L$10:$P$10)</f>
        <v>3.446982044961127</v>
      </c>
      <c r="R10" s="26">
        <f>'TE BE'!$R$10*'TE BE'!$R$48</f>
        <v>2.3362954426155134</v>
      </c>
      <c r="S10" s="26">
        <f>SUM($R$10:$R$10)</f>
        <v>2.3362954426155134</v>
      </c>
      <c r="T10" s="26">
        <f>'TE BE'!$T$10*'TE BE'!$T$48</f>
        <v>0</v>
      </c>
      <c r="U10" s="26">
        <f>'TE BE'!$U$10*'TE BE'!$U$48</f>
        <v>0</v>
      </c>
      <c r="V10" s="26">
        <f>'TE BE'!$V$10*'TE BE'!$V$48</f>
        <v>0</v>
      </c>
      <c r="W10" s="26">
        <f>SUM($T$10:$V$10)</f>
        <v>0</v>
      </c>
      <c r="X10" s="26">
        <f>'TE BE'!$AB$10*'TE BE'!$X$48</f>
        <v>0</v>
      </c>
      <c r="Y10" s="26">
        <f>SUM($X$10:$X$10)</f>
        <v>0</v>
      </c>
      <c r="Z10" s="26">
        <f>'TE BE'!$Z$10*'TE BE'!$Z$48</f>
        <v>9.4414998476254064E-2</v>
      </c>
      <c r="AA10" s="26">
        <f>SUM($Z$10:$Z$10)</f>
        <v>9.4414998476254064E-2</v>
      </c>
      <c r="AB10" s="26">
        <f>SUMIF($L$4:$AA$4,"SUBTOTAL",$L$10:$AA$10)</f>
        <v>5.8776924860528945</v>
      </c>
    </row>
    <row r="11" spans="1:28" ht="11.25" customHeight="1" x14ac:dyDescent="0.3">
      <c r="A11" s="103"/>
      <c r="B11" s="103"/>
      <c r="C11" s="103"/>
      <c r="D11" s="28" t="s">
        <v>29</v>
      </c>
      <c r="E11" s="28" t="s">
        <v>25</v>
      </c>
      <c r="F11" s="28" t="s">
        <v>25</v>
      </c>
      <c r="G11" s="29" t="s">
        <v>79</v>
      </c>
      <c r="H11" s="29" t="s">
        <v>72</v>
      </c>
      <c r="I11" s="29">
        <f>'MERCADO TE'!$U$8</f>
        <v>78.629000000000005</v>
      </c>
      <c r="J11" s="15"/>
      <c r="L11" s="26">
        <f>'TE BE'!$L$11*'TE BE'!$L$48</f>
        <v>0</v>
      </c>
      <c r="M11" s="26">
        <f>'TE BE'!$M$11*'TE BE'!$M$48</f>
        <v>3.446982044961127</v>
      </c>
      <c r="N11" s="26">
        <f>'TE BE'!$N$11*'TE BE'!$N$48</f>
        <v>0</v>
      </c>
      <c r="O11" s="26">
        <f>'TE BE'!$O$11*'TE BE'!$O$48</f>
        <v>0</v>
      </c>
      <c r="P11" s="26">
        <f>'TE BE'!$P$11*'TE BE'!$P$48</f>
        <v>0</v>
      </c>
      <c r="Q11" s="26">
        <f>SUM($L$11:$P$11)</f>
        <v>3.446982044961127</v>
      </c>
      <c r="R11" s="26">
        <f>'TE BE'!$R$11*'TE BE'!$R$48</f>
        <v>2.3362954426155134</v>
      </c>
      <c r="S11" s="26">
        <f>SUM($R$11:$R$11)</f>
        <v>2.3362954426155134</v>
      </c>
      <c r="T11" s="26">
        <f>'TE BE'!$T$11*'TE BE'!$T$48</f>
        <v>0</v>
      </c>
      <c r="U11" s="26">
        <f>'TE BE'!$U$11*'TE BE'!$U$48</f>
        <v>0</v>
      </c>
      <c r="V11" s="26">
        <f>'TE BE'!$V$11*'TE BE'!$V$48</f>
        <v>0</v>
      </c>
      <c r="W11" s="26">
        <f>SUM($T$11:$V$11)</f>
        <v>0</v>
      </c>
      <c r="X11" s="26">
        <f>'TE BE'!$AB$11*'TE BE'!$X$48</f>
        <v>0</v>
      </c>
      <c r="Y11" s="26">
        <f>SUM($X$11:$X$11)</f>
        <v>0</v>
      </c>
      <c r="Z11" s="26">
        <f>'TE BE'!$Z$11*'TE BE'!$Z$48</f>
        <v>9.4414998476254064E-2</v>
      </c>
      <c r="AA11" s="26">
        <f>SUM($Z$11:$Z$11)</f>
        <v>9.4414998476254064E-2</v>
      </c>
      <c r="AB11" s="26">
        <f>SUMIF($L$4:$AA$4,"SUBTOTAL",$L$11:$AA$11)</f>
        <v>5.8776924860528945</v>
      </c>
    </row>
    <row r="12" spans="1:28" ht="11.25" customHeight="1" x14ac:dyDescent="0.3">
      <c r="A12" s="103"/>
      <c r="B12" s="103"/>
      <c r="C12" s="103"/>
      <c r="D12" s="28" t="s">
        <v>30</v>
      </c>
      <c r="E12" s="28" t="s">
        <v>25</v>
      </c>
      <c r="F12" s="28" t="s">
        <v>25</v>
      </c>
      <c r="G12" s="29" t="s">
        <v>79</v>
      </c>
      <c r="H12" s="29" t="s">
        <v>72</v>
      </c>
      <c r="I12" s="29">
        <f>'MERCADO TE'!$U$9</f>
        <v>159.86900000000003</v>
      </c>
      <c r="J12" s="15"/>
      <c r="L12" s="26">
        <f>'TE BE'!$L$12*'TE BE'!$L$48</f>
        <v>0</v>
      </c>
      <c r="M12" s="26">
        <f>'TE BE'!$M$12*'TE BE'!$M$48</f>
        <v>3.446982044961127</v>
      </c>
      <c r="N12" s="26">
        <f>'TE BE'!$N$12*'TE BE'!$N$48</f>
        <v>0</v>
      </c>
      <c r="O12" s="26">
        <f>'TE BE'!$O$12*'TE BE'!$O$48</f>
        <v>0</v>
      </c>
      <c r="P12" s="26">
        <f>'TE BE'!$P$12*'TE BE'!$P$48</f>
        <v>0</v>
      </c>
      <c r="Q12" s="26">
        <f>SUM($L$12:$P$12)</f>
        <v>3.446982044961127</v>
      </c>
      <c r="R12" s="26">
        <f>'TE BE'!$R$12*'TE BE'!$R$48</f>
        <v>2.3362954426155134</v>
      </c>
      <c r="S12" s="26">
        <f>SUM($R$12:$R$12)</f>
        <v>2.3362954426155134</v>
      </c>
      <c r="T12" s="26">
        <f>'TE BE'!$T$12*'TE BE'!$T$48</f>
        <v>0</v>
      </c>
      <c r="U12" s="26">
        <f>'TE BE'!$U$12*'TE BE'!$U$48</f>
        <v>0</v>
      </c>
      <c r="V12" s="26">
        <f>'TE BE'!$V$12*'TE BE'!$V$48</f>
        <v>0</v>
      </c>
      <c r="W12" s="26">
        <f>SUM($T$12:$V$12)</f>
        <v>0</v>
      </c>
      <c r="X12" s="26">
        <f>'TE BE'!$AB$12*'TE BE'!$X$48</f>
        <v>0</v>
      </c>
      <c r="Y12" s="26">
        <f>SUM($X$12:$X$12)</f>
        <v>0</v>
      </c>
      <c r="Z12" s="26">
        <f>'TE BE'!$Z$12*'TE BE'!$Z$48</f>
        <v>9.4414998476254064E-2</v>
      </c>
      <c r="AA12" s="26">
        <f>SUM($Z$12:$Z$12)</f>
        <v>9.4414998476254064E-2</v>
      </c>
      <c r="AB12" s="26">
        <f>SUMIF($L$4:$AA$4,"SUBTOTAL",$L$12:$AA$12)</f>
        <v>5.8776924860528945</v>
      </c>
    </row>
    <row r="13" spans="1:28" ht="11.25" customHeight="1" x14ac:dyDescent="0.3">
      <c r="A13" s="103"/>
      <c r="B13" s="103"/>
      <c r="C13" s="103"/>
      <c r="D13" s="28" t="s">
        <v>31</v>
      </c>
      <c r="E13" s="28" t="s">
        <v>25</v>
      </c>
      <c r="F13" s="28" t="s">
        <v>25</v>
      </c>
      <c r="G13" s="29" t="s">
        <v>79</v>
      </c>
      <c r="H13" s="29" t="s">
        <v>72</v>
      </c>
      <c r="I13" s="29">
        <f>'MERCADO TE'!$U$10</f>
        <v>149.93899999999999</v>
      </c>
      <c r="J13" s="15"/>
      <c r="L13" s="26">
        <f>'TE BE'!$L$13*'TE BE'!$L$48</f>
        <v>0</v>
      </c>
      <c r="M13" s="26">
        <f>'TE BE'!$M$13*'TE BE'!$M$48</f>
        <v>3.446982044961127</v>
      </c>
      <c r="N13" s="26">
        <f>'TE BE'!$N$13*'TE BE'!$N$48</f>
        <v>0</v>
      </c>
      <c r="O13" s="26">
        <f>'TE BE'!$O$13*'TE BE'!$O$48</f>
        <v>0</v>
      </c>
      <c r="P13" s="26">
        <f>'TE BE'!$P$13*'TE BE'!$P$48</f>
        <v>0</v>
      </c>
      <c r="Q13" s="26">
        <f>SUM($L$13:$P$13)</f>
        <v>3.446982044961127</v>
      </c>
      <c r="R13" s="26">
        <f>'TE BE'!$R$13*'TE BE'!$R$48</f>
        <v>2.3362954426155134</v>
      </c>
      <c r="S13" s="26">
        <f>SUM($R$13:$R$13)</f>
        <v>2.3362954426155134</v>
      </c>
      <c r="T13" s="26">
        <f>'TE BE'!$T$13*'TE BE'!$T$48</f>
        <v>0</v>
      </c>
      <c r="U13" s="26">
        <f>'TE BE'!$U$13*'TE BE'!$U$48</f>
        <v>0</v>
      </c>
      <c r="V13" s="26">
        <f>'TE BE'!$V$13*'TE BE'!$V$48</f>
        <v>0</v>
      </c>
      <c r="W13" s="26">
        <f>SUM($T$13:$V$13)</f>
        <v>0</v>
      </c>
      <c r="X13" s="26">
        <f>'TE BE'!$AB$13*'TE BE'!$X$48</f>
        <v>0</v>
      </c>
      <c r="Y13" s="26">
        <f>SUM($X$13:$X$13)</f>
        <v>0</v>
      </c>
      <c r="Z13" s="26">
        <f>'TE BE'!$Z$13*'TE BE'!$Z$48</f>
        <v>9.4414998476254064E-2</v>
      </c>
      <c r="AA13" s="26">
        <f>SUM($Z$13:$Z$13)</f>
        <v>9.4414998476254064E-2</v>
      </c>
      <c r="AB13" s="26">
        <f>SUMIF($L$4:$AA$4,"SUBTOTAL",$L$13:$AA$13)</f>
        <v>5.8776924860528945</v>
      </c>
    </row>
    <row r="14" spans="1:28" ht="11.25" customHeight="1" x14ac:dyDescent="0.3">
      <c r="A14" s="103"/>
      <c r="B14" s="103"/>
      <c r="C14" s="103"/>
      <c r="D14" s="28" t="s">
        <v>32</v>
      </c>
      <c r="E14" s="28" t="s">
        <v>25</v>
      </c>
      <c r="F14" s="28" t="s">
        <v>25</v>
      </c>
      <c r="G14" s="29" t="s">
        <v>79</v>
      </c>
      <c r="H14" s="29" t="s">
        <v>72</v>
      </c>
      <c r="I14" s="29">
        <f>'MERCADO TE'!$U$11</f>
        <v>50.329000000000001</v>
      </c>
      <c r="J14" s="15"/>
      <c r="L14" s="26">
        <f>'TE BE'!$L$14*'TE BE'!$L$48</f>
        <v>0</v>
      </c>
      <c r="M14" s="26">
        <f>'TE BE'!$M$14*'TE BE'!$M$48</f>
        <v>3.446982044961127</v>
      </c>
      <c r="N14" s="26">
        <f>'TE BE'!$N$14*'TE BE'!$N$48</f>
        <v>0</v>
      </c>
      <c r="O14" s="26">
        <f>'TE BE'!$O$14*'TE BE'!$O$48</f>
        <v>0</v>
      </c>
      <c r="P14" s="26">
        <f>'TE BE'!$P$14*'TE BE'!$P$48</f>
        <v>0</v>
      </c>
      <c r="Q14" s="26">
        <f>SUM($L$14:$P$14)</f>
        <v>3.446982044961127</v>
      </c>
      <c r="R14" s="26">
        <f>'TE BE'!$R$14*'TE BE'!$R$48</f>
        <v>2.3362954426155134</v>
      </c>
      <c r="S14" s="26">
        <f>SUM($R$14:$R$14)</f>
        <v>2.3362954426155134</v>
      </c>
      <c r="T14" s="26">
        <f>'TE BE'!$T$14*'TE BE'!$T$48</f>
        <v>0</v>
      </c>
      <c r="U14" s="26">
        <f>'TE BE'!$U$14*'TE BE'!$U$48</f>
        <v>0</v>
      </c>
      <c r="V14" s="26">
        <f>'TE BE'!$V$14*'TE BE'!$V$48</f>
        <v>0</v>
      </c>
      <c r="W14" s="26">
        <f>SUM($T$14:$V$14)</f>
        <v>0</v>
      </c>
      <c r="X14" s="26">
        <f>'TE BE'!$AB$14*'TE BE'!$X$48</f>
        <v>0</v>
      </c>
      <c r="Y14" s="26">
        <f>SUM($X$14:$X$14)</f>
        <v>0</v>
      </c>
      <c r="Z14" s="26">
        <f>'TE BE'!$Z$14*'TE BE'!$Z$48</f>
        <v>9.4414998476254064E-2</v>
      </c>
      <c r="AA14" s="26">
        <f>SUM($Z$14:$Z$14)</f>
        <v>9.4414998476254064E-2</v>
      </c>
      <c r="AB14" s="26">
        <f>SUMIF($L$4:$AA$4,"SUBTOTAL",$L$14:$AA$14)</f>
        <v>5.8776924860528945</v>
      </c>
    </row>
    <row r="15" spans="1:28" ht="11.25" customHeight="1" x14ac:dyDescent="0.3">
      <c r="A15" s="103"/>
      <c r="B15" s="103" t="s">
        <v>87</v>
      </c>
      <c r="C15" s="103" t="s">
        <v>24</v>
      </c>
      <c r="D15" s="28" t="s">
        <v>24</v>
      </c>
      <c r="E15" s="28" t="s">
        <v>25</v>
      </c>
      <c r="F15" s="28" t="s">
        <v>25</v>
      </c>
      <c r="G15" s="29" t="s">
        <v>79</v>
      </c>
      <c r="H15" s="29" t="s">
        <v>72</v>
      </c>
      <c r="I15" s="29">
        <f>'MERCADO TE'!$U$12</f>
        <v>0</v>
      </c>
      <c r="J15" s="15"/>
      <c r="L15" s="26">
        <f>'TE BE'!$L$15*'TE BE'!$L$48</f>
        <v>0</v>
      </c>
      <c r="M15" s="26">
        <f>'TE BE'!$M$15*'TE BE'!$M$48</f>
        <v>3.446982044961127</v>
      </c>
      <c r="N15" s="26">
        <f>'TE BE'!$N$15*'TE BE'!$N$48</f>
        <v>0</v>
      </c>
      <c r="O15" s="26">
        <f>'TE BE'!$O$15*'TE BE'!$O$48</f>
        <v>0</v>
      </c>
      <c r="P15" s="26">
        <f>'TE BE'!$P$15*'TE BE'!$P$48</f>
        <v>0</v>
      </c>
      <c r="Q15" s="26">
        <f>SUM($L$15:$P$15)</f>
        <v>3.446982044961127</v>
      </c>
      <c r="R15" s="26">
        <f>'TE BE'!$R$15*'TE BE'!$R$48</f>
        <v>2.3362954426155134</v>
      </c>
      <c r="S15" s="26">
        <f>SUM($R$15:$R$15)</f>
        <v>2.3362954426155134</v>
      </c>
      <c r="T15" s="26">
        <f>'TE BE'!$T$15*'TE BE'!$T$48</f>
        <v>0</v>
      </c>
      <c r="U15" s="26">
        <f>'TE BE'!$U$15*'TE BE'!$U$48</f>
        <v>0</v>
      </c>
      <c r="V15" s="26">
        <f>'TE BE'!$V$15*'TE BE'!$V$48</f>
        <v>0</v>
      </c>
      <c r="W15" s="26">
        <f>SUM($T$15:$V$15)</f>
        <v>0</v>
      </c>
      <c r="X15" s="26">
        <f>'TE BE'!$AB$15*'TE BE'!$X$48</f>
        <v>0</v>
      </c>
      <c r="Y15" s="26">
        <f>SUM($X$15:$X$15)</f>
        <v>0</v>
      </c>
      <c r="Z15" s="26">
        <f>'TE BE'!$Z$15*'TE BE'!$Z$48</f>
        <v>9.4414998476254064E-2</v>
      </c>
      <c r="AA15" s="26">
        <f>SUM($Z$15:$Z$15)</f>
        <v>9.4414998476254064E-2</v>
      </c>
      <c r="AB15" s="26">
        <f>SUMIF($L$4:$AA$4,"SUBTOTAL",$L$15:$AA$15)</f>
        <v>5.8776924860528945</v>
      </c>
    </row>
    <row r="16" spans="1:28" ht="11.25" customHeight="1" x14ac:dyDescent="0.3">
      <c r="A16" s="103"/>
      <c r="B16" s="103"/>
      <c r="C16" s="103"/>
      <c r="D16" s="28" t="s">
        <v>29</v>
      </c>
      <c r="E16" s="28" t="s">
        <v>25</v>
      </c>
      <c r="F16" s="28" t="s">
        <v>25</v>
      </c>
      <c r="G16" s="29" t="s">
        <v>79</v>
      </c>
      <c r="H16" s="29" t="s">
        <v>72</v>
      </c>
      <c r="I16" s="29">
        <f>'MERCADO TE'!$U$13</f>
        <v>0</v>
      </c>
      <c r="J16" s="15"/>
      <c r="L16" s="26">
        <f>'TE BE'!$L$16*'TE BE'!$L$48</f>
        <v>0</v>
      </c>
      <c r="M16" s="26">
        <f>'TE BE'!$M$16*'TE BE'!$M$48</f>
        <v>3.446982044961127</v>
      </c>
      <c r="N16" s="26">
        <f>'TE BE'!$N$16*'TE BE'!$N$48</f>
        <v>0</v>
      </c>
      <c r="O16" s="26">
        <f>'TE BE'!$O$16*'TE BE'!$O$48</f>
        <v>0</v>
      </c>
      <c r="P16" s="26">
        <f>'TE BE'!$P$16*'TE BE'!$P$48</f>
        <v>0</v>
      </c>
      <c r="Q16" s="26">
        <f>SUM($L$16:$P$16)</f>
        <v>3.446982044961127</v>
      </c>
      <c r="R16" s="26">
        <f>'TE BE'!$R$16*'TE BE'!$R$48</f>
        <v>2.3362954426155134</v>
      </c>
      <c r="S16" s="26">
        <f>SUM($R$16:$R$16)</f>
        <v>2.3362954426155134</v>
      </c>
      <c r="T16" s="26">
        <f>'TE BE'!$T$16*'TE BE'!$T$48</f>
        <v>0</v>
      </c>
      <c r="U16" s="26">
        <f>'TE BE'!$U$16*'TE BE'!$U$48</f>
        <v>0</v>
      </c>
      <c r="V16" s="26">
        <f>'TE BE'!$V$16*'TE BE'!$V$48</f>
        <v>0</v>
      </c>
      <c r="W16" s="26">
        <f>SUM($T$16:$V$16)</f>
        <v>0</v>
      </c>
      <c r="X16" s="26">
        <f>'TE BE'!$AB$16*'TE BE'!$X$48</f>
        <v>0</v>
      </c>
      <c r="Y16" s="26">
        <f>SUM($X$16:$X$16)</f>
        <v>0</v>
      </c>
      <c r="Z16" s="26">
        <f>'TE BE'!$Z$16*'TE BE'!$Z$48</f>
        <v>9.4414998476254064E-2</v>
      </c>
      <c r="AA16" s="26">
        <f>SUM($Z$16:$Z$16)</f>
        <v>9.4414998476254064E-2</v>
      </c>
      <c r="AB16" s="26">
        <f>SUMIF($L$4:$AA$4,"SUBTOTAL",$L$16:$AA$16)</f>
        <v>5.8776924860528945</v>
      </c>
    </row>
    <row r="17" spans="1:28" ht="11.25" customHeight="1" x14ac:dyDescent="0.3">
      <c r="A17" s="103"/>
      <c r="B17" s="103"/>
      <c r="C17" s="103"/>
      <c r="D17" s="28" t="s">
        <v>30</v>
      </c>
      <c r="E17" s="28" t="s">
        <v>25</v>
      </c>
      <c r="F17" s="28" t="s">
        <v>25</v>
      </c>
      <c r="G17" s="29" t="s">
        <v>79</v>
      </c>
      <c r="H17" s="29" t="s">
        <v>72</v>
      </c>
      <c r="I17" s="29">
        <f>'MERCADO TE'!$U$14</f>
        <v>0</v>
      </c>
      <c r="J17" s="15"/>
      <c r="L17" s="26">
        <f>'TE BE'!$L$17*'TE BE'!$L$48</f>
        <v>0</v>
      </c>
      <c r="M17" s="26">
        <f>'TE BE'!$M$17*'TE BE'!$M$48</f>
        <v>3.446982044961127</v>
      </c>
      <c r="N17" s="26">
        <f>'TE BE'!$N$17*'TE BE'!$N$48</f>
        <v>0</v>
      </c>
      <c r="O17" s="26">
        <f>'TE BE'!$O$17*'TE BE'!$O$48</f>
        <v>0</v>
      </c>
      <c r="P17" s="26">
        <f>'TE BE'!$P$17*'TE BE'!$P$48</f>
        <v>0</v>
      </c>
      <c r="Q17" s="26">
        <f>SUM($L$17:$P$17)</f>
        <v>3.446982044961127</v>
      </c>
      <c r="R17" s="26">
        <f>'TE BE'!$R$17*'TE BE'!$R$48</f>
        <v>2.3362954426155134</v>
      </c>
      <c r="S17" s="26">
        <f>SUM($R$17:$R$17)</f>
        <v>2.3362954426155134</v>
      </c>
      <c r="T17" s="26">
        <f>'TE BE'!$T$17*'TE BE'!$T$48</f>
        <v>0</v>
      </c>
      <c r="U17" s="26">
        <f>'TE BE'!$U$17*'TE BE'!$U$48</f>
        <v>0</v>
      </c>
      <c r="V17" s="26">
        <f>'TE BE'!$V$17*'TE BE'!$V$48</f>
        <v>0</v>
      </c>
      <c r="W17" s="26">
        <f>SUM($T$17:$V$17)</f>
        <v>0</v>
      </c>
      <c r="X17" s="26">
        <f>'TE BE'!$AB$17*'TE BE'!$X$48</f>
        <v>0</v>
      </c>
      <c r="Y17" s="26">
        <f>SUM($X$17:$X$17)</f>
        <v>0</v>
      </c>
      <c r="Z17" s="26">
        <f>'TE BE'!$Z$17*'TE BE'!$Z$48</f>
        <v>9.4414998476254064E-2</v>
      </c>
      <c r="AA17" s="26">
        <f>SUM($Z$17:$Z$17)</f>
        <v>9.4414998476254064E-2</v>
      </c>
      <c r="AB17" s="26">
        <f>SUMIF($L$4:$AA$4,"SUBTOTAL",$L$17:$AA$17)</f>
        <v>5.8776924860528945</v>
      </c>
    </row>
    <row r="18" spans="1:28" ht="11.25" customHeight="1" x14ac:dyDescent="0.3">
      <c r="A18" s="103"/>
      <c r="B18" s="103"/>
      <c r="C18" s="103"/>
      <c r="D18" s="28" t="s">
        <v>31</v>
      </c>
      <c r="E18" s="28" t="s">
        <v>25</v>
      </c>
      <c r="F18" s="28" t="s">
        <v>25</v>
      </c>
      <c r="G18" s="29" t="s">
        <v>79</v>
      </c>
      <c r="H18" s="29" t="s">
        <v>72</v>
      </c>
      <c r="I18" s="29">
        <f>'MERCADO TE'!$U$15</f>
        <v>0</v>
      </c>
      <c r="J18" s="15"/>
      <c r="L18" s="26">
        <f>'TE BE'!$L$18*'TE BE'!$L$48</f>
        <v>0</v>
      </c>
      <c r="M18" s="26">
        <f>'TE BE'!$M$18*'TE BE'!$M$48</f>
        <v>3.446982044961127</v>
      </c>
      <c r="N18" s="26">
        <f>'TE BE'!$N$18*'TE BE'!$N$48</f>
        <v>0</v>
      </c>
      <c r="O18" s="26">
        <f>'TE BE'!$O$18*'TE BE'!$O$48</f>
        <v>0</v>
      </c>
      <c r="P18" s="26">
        <f>'TE BE'!$P$18*'TE BE'!$P$48</f>
        <v>0</v>
      </c>
      <c r="Q18" s="26">
        <f>SUM($L$18:$P$18)</f>
        <v>3.446982044961127</v>
      </c>
      <c r="R18" s="26">
        <f>'TE BE'!$R$18*'TE BE'!$R$48</f>
        <v>2.3362954426155134</v>
      </c>
      <c r="S18" s="26">
        <f>SUM($R$18:$R$18)</f>
        <v>2.3362954426155134</v>
      </c>
      <c r="T18" s="26">
        <f>'TE BE'!$T$18*'TE BE'!$T$48</f>
        <v>0</v>
      </c>
      <c r="U18" s="26">
        <f>'TE BE'!$U$18*'TE BE'!$U$48</f>
        <v>0</v>
      </c>
      <c r="V18" s="26">
        <f>'TE BE'!$V$18*'TE BE'!$V$48</f>
        <v>0</v>
      </c>
      <c r="W18" s="26">
        <f>SUM($T$18:$V$18)</f>
        <v>0</v>
      </c>
      <c r="X18" s="26">
        <f>'TE BE'!$AB$18*'TE BE'!$X$48</f>
        <v>0</v>
      </c>
      <c r="Y18" s="26">
        <f>SUM($X$18:$X$18)</f>
        <v>0</v>
      </c>
      <c r="Z18" s="26">
        <f>'TE BE'!$Z$18*'TE BE'!$Z$48</f>
        <v>9.4414998476254064E-2</v>
      </c>
      <c r="AA18" s="26">
        <f>SUM($Z$18:$Z$18)</f>
        <v>9.4414998476254064E-2</v>
      </c>
      <c r="AB18" s="26">
        <f>SUMIF($L$4:$AA$4,"SUBTOTAL",$L$18:$AA$18)</f>
        <v>5.8776924860528945</v>
      </c>
    </row>
    <row r="19" spans="1:28" ht="11.25" customHeight="1" x14ac:dyDescent="0.3">
      <c r="A19" s="103"/>
      <c r="B19" s="103"/>
      <c r="C19" s="103"/>
      <c r="D19" s="28" t="s">
        <v>32</v>
      </c>
      <c r="E19" s="28" t="s">
        <v>25</v>
      </c>
      <c r="F19" s="28" t="s">
        <v>25</v>
      </c>
      <c r="G19" s="29" t="s">
        <v>79</v>
      </c>
      <c r="H19" s="29" t="s">
        <v>72</v>
      </c>
      <c r="I19" s="29">
        <f>'MERCADO TE'!$U$16</f>
        <v>0</v>
      </c>
      <c r="J19" s="15"/>
      <c r="L19" s="26">
        <f>'TE BE'!$L$19*'TE BE'!$L$48</f>
        <v>0</v>
      </c>
      <c r="M19" s="26">
        <f>'TE BE'!$M$19*'TE BE'!$M$48</f>
        <v>3.446982044961127</v>
      </c>
      <c r="N19" s="26">
        <f>'TE BE'!$N$19*'TE BE'!$N$48</f>
        <v>0</v>
      </c>
      <c r="O19" s="26">
        <f>'TE BE'!$O$19*'TE BE'!$O$48</f>
        <v>0</v>
      </c>
      <c r="P19" s="26">
        <f>'TE BE'!$P$19*'TE BE'!$P$48</f>
        <v>0</v>
      </c>
      <c r="Q19" s="26">
        <f>SUM($L$19:$P$19)</f>
        <v>3.446982044961127</v>
      </c>
      <c r="R19" s="26">
        <f>'TE BE'!$R$19*'TE BE'!$R$48</f>
        <v>2.3362954426155134</v>
      </c>
      <c r="S19" s="26">
        <f>SUM($R$19:$R$19)</f>
        <v>2.3362954426155134</v>
      </c>
      <c r="T19" s="26">
        <f>'TE BE'!$T$19*'TE BE'!$T$48</f>
        <v>0</v>
      </c>
      <c r="U19" s="26">
        <f>'TE BE'!$U$19*'TE BE'!$U$48</f>
        <v>0</v>
      </c>
      <c r="V19" s="26">
        <f>'TE BE'!$V$19*'TE BE'!$V$48</f>
        <v>0</v>
      </c>
      <c r="W19" s="26">
        <f>SUM($T$19:$V$19)</f>
        <v>0</v>
      </c>
      <c r="X19" s="26">
        <f>'TE BE'!$AB$19*'TE BE'!$X$48</f>
        <v>0</v>
      </c>
      <c r="Y19" s="26">
        <f>SUM($X$19:$X$19)</f>
        <v>0</v>
      </c>
      <c r="Z19" s="26">
        <f>'TE BE'!$Z$19*'TE BE'!$Z$48</f>
        <v>9.4414998476254064E-2</v>
      </c>
      <c r="AA19" s="26">
        <f>SUM($Z$19:$Z$19)</f>
        <v>9.4414998476254064E-2</v>
      </c>
      <c r="AB19" s="26">
        <f>SUMIF($L$4:$AA$4,"SUBTOTAL",$L$19:$AA$19)</f>
        <v>5.8776924860528945</v>
      </c>
    </row>
    <row r="20" spans="1:28" ht="11.25" customHeight="1" x14ac:dyDescent="0.3">
      <c r="A20" s="103" t="s">
        <v>42</v>
      </c>
      <c r="B20" s="103" t="s">
        <v>71</v>
      </c>
      <c r="C20" s="103" t="s">
        <v>43</v>
      </c>
      <c r="D20" s="103" t="s">
        <v>25</v>
      </c>
      <c r="E20" s="103" t="s">
        <v>25</v>
      </c>
      <c r="F20" s="103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'TE BE'!$L$20*'TE BE'!$L$48</f>
        <v>0</v>
      </c>
      <c r="M20" s="26">
        <f>'TE BE'!$M$20*'TE BE'!$M$48</f>
        <v>3.446982044961127</v>
      </c>
      <c r="N20" s="26">
        <f>'TE BE'!$N$20*'TE BE'!$N$48</f>
        <v>0</v>
      </c>
      <c r="O20" s="26">
        <f>'TE BE'!$O$20*'TE BE'!$O$48</f>
        <v>0</v>
      </c>
      <c r="P20" s="26">
        <f>'TE BE'!$P$20*'TE BE'!$P$48</f>
        <v>0</v>
      </c>
      <c r="Q20" s="26">
        <f>SUM($L$20:$P$20)</f>
        <v>3.446982044961127</v>
      </c>
      <c r="R20" s="26">
        <f>'TE BE'!$R$20*'TE BE'!$R$48</f>
        <v>2.3362954426155134</v>
      </c>
      <c r="S20" s="26">
        <f>SUM($R$20:$R$20)</f>
        <v>2.3362954426155134</v>
      </c>
      <c r="T20" s="26">
        <f>'TE BE'!$T$20*'TE BE'!$T$48</f>
        <v>0</v>
      </c>
      <c r="U20" s="26">
        <f>'TE BE'!$U$20*'TE BE'!$U$48</f>
        <v>0</v>
      </c>
      <c r="V20" s="26">
        <f>'TE BE'!$V$20*'TE BE'!$V$48</f>
        <v>0</v>
      </c>
      <c r="W20" s="26">
        <f>SUM($T$20:$V$20)</f>
        <v>0</v>
      </c>
      <c r="X20" s="26">
        <f>'TE BE'!$AB$20*'TE BE'!$X$48</f>
        <v>0</v>
      </c>
      <c r="Y20" s="26">
        <f>SUM($X$20:$X$20)</f>
        <v>0</v>
      </c>
      <c r="Z20" s="26">
        <f>'TE BE'!$Z$20*'TE BE'!$Z$48</f>
        <v>9.4414998476254064E-2</v>
      </c>
      <c r="AA20" s="26">
        <f>SUM($Z$20:$Z$20)</f>
        <v>9.4414998476254064E-2</v>
      </c>
      <c r="AB20" s="26">
        <f>SUMIF($L$4:$AA$4,"SUBTOTAL",$L$20:$AA$20)</f>
        <v>5.8776924860528945</v>
      </c>
    </row>
    <row r="21" spans="1:28" ht="11.25" customHeight="1" x14ac:dyDescent="0.3">
      <c r="A21" s="103"/>
      <c r="B21" s="103"/>
      <c r="C21" s="103"/>
      <c r="D21" s="103"/>
      <c r="E21" s="103"/>
      <c r="F21" s="103"/>
      <c r="G21" s="29" t="s">
        <v>85</v>
      </c>
      <c r="H21" s="29" t="s">
        <v>72</v>
      </c>
      <c r="I21" s="29">
        <f>'MERCADO TE'!$U$18</f>
        <v>0</v>
      </c>
      <c r="J21" s="15"/>
      <c r="L21" s="26">
        <f>'TE BE'!$L$21*'TE BE'!$L$48</f>
        <v>0</v>
      </c>
      <c r="M21" s="26">
        <f>'TE BE'!$M$21*'TE BE'!$M$48</f>
        <v>3.446982044961127</v>
      </c>
      <c r="N21" s="26">
        <f>'TE BE'!$N$21*'TE BE'!$N$48</f>
        <v>0</v>
      </c>
      <c r="O21" s="26">
        <f>'TE BE'!$O$21*'TE BE'!$O$48</f>
        <v>0</v>
      </c>
      <c r="P21" s="26">
        <f>'TE BE'!$P$21*'TE BE'!$P$48</f>
        <v>0</v>
      </c>
      <c r="Q21" s="26">
        <f>SUM($L$21:$P$21)</f>
        <v>3.446982044961127</v>
      </c>
      <c r="R21" s="26">
        <f>'TE BE'!$R$21*'TE BE'!$R$48</f>
        <v>2.3362954426155134</v>
      </c>
      <c r="S21" s="26">
        <f>SUM($R$21:$R$21)</f>
        <v>2.3362954426155134</v>
      </c>
      <c r="T21" s="26">
        <f>'TE BE'!$T$21*'TE BE'!$T$48</f>
        <v>0</v>
      </c>
      <c r="U21" s="26">
        <f>'TE BE'!$U$21*'TE BE'!$U$48</f>
        <v>0</v>
      </c>
      <c r="V21" s="26">
        <f>'TE BE'!$V$21*'TE BE'!$V$48</f>
        <v>0</v>
      </c>
      <c r="W21" s="26">
        <f>SUM($T$21:$V$21)</f>
        <v>0</v>
      </c>
      <c r="X21" s="26">
        <f>'TE BE'!$AB$21*'TE BE'!$X$48</f>
        <v>0</v>
      </c>
      <c r="Y21" s="26">
        <f>SUM($X$21:$X$21)</f>
        <v>0</v>
      </c>
      <c r="Z21" s="26">
        <f>'TE BE'!$Z$21*'TE BE'!$Z$48</f>
        <v>9.4414998476254064E-2</v>
      </c>
      <c r="AA21" s="26">
        <f>SUM($Z$21:$Z$21)</f>
        <v>9.4414998476254064E-2</v>
      </c>
      <c r="AB21" s="26">
        <f>SUMIF($L$4:$AA$4,"SUBTOTAL",$L$21:$AA$21)</f>
        <v>5.8776924860528945</v>
      </c>
    </row>
    <row r="22" spans="1:28" ht="11.25" customHeight="1" x14ac:dyDescent="0.3">
      <c r="A22" s="103"/>
      <c r="B22" s="103"/>
      <c r="C22" s="103"/>
      <c r="D22" s="103"/>
      <c r="E22" s="103"/>
      <c r="F22" s="103"/>
      <c r="G22" s="29" t="s">
        <v>74</v>
      </c>
      <c r="H22" s="29" t="s">
        <v>72</v>
      </c>
      <c r="I22" s="29">
        <f>'MERCADO TE'!$U$19</f>
        <v>0</v>
      </c>
      <c r="J22" s="15"/>
      <c r="L22" s="26">
        <f>'TE BE'!$L$22*'TE BE'!$L$48</f>
        <v>0</v>
      </c>
      <c r="M22" s="26">
        <f>'TE BE'!$M$22*'TE BE'!$M$48</f>
        <v>3.446982044961127</v>
      </c>
      <c r="N22" s="26">
        <f>'TE BE'!$N$22*'TE BE'!$N$48</f>
        <v>0</v>
      </c>
      <c r="O22" s="26">
        <f>'TE BE'!$O$22*'TE BE'!$O$48</f>
        <v>0</v>
      </c>
      <c r="P22" s="26">
        <f>'TE BE'!$P$22*'TE BE'!$P$48</f>
        <v>0</v>
      </c>
      <c r="Q22" s="26">
        <f>SUM($L$22:$P$22)</f>
        <v>3.446982044961127</v>
      </c>
      <c r="R22" s="26">
        <f>'TE BE'!$R$22*'TE BE'!$R$48</f>
        <v>2.3362954426155134</v>
      </c>
      <c r="S22" s="26">
        <f>SUM($R$22:$R$22)</f>
        <v>2.3362954426155134</v>
      </c>
      <c r="T22" s="26">
        <f>'TE BE'!$T$22*'TE BE'!$T$48</f>
        <v>0</v>
      </c>
      <c r="U22" s="26">
        <f>'TE BE'!$U$22*'TE BE'!$U$48</f>
        <v>0</v>
      </c>
      <c r="V22" s="26">
        <f>'TE BE'!$V$22*'TE BE'!$V$48</f>
        <v>0</v>
      </c>
      <c r="W22" s="26">
        <f>SUM($T$22:$V$22)</f>
        <v>0</v>
      </c>
      <c r="X22" s="26">
        <f>'TE BE'!$AB$22*'TE BE'!$X$48</f>
        <v>0</v>
      </c>
      <c r="Y22" s="26">
        <f>SUM($X$22:$X$22)</f>
        <v>0</v>
      </c>
      <c r="Z22" s="26">
        <f>'TE BE'!$Z$22*'TE BE'!$Z$48</f>
        <v>9.4414998476254064E-2</v>
      </c>
      <c r="AA22" s="26">
        <f>SUM($Z$22:$Z$22)</f>
        <v>9.4414998476254064E-2</v>
      </c>
      <c r="AB22" s="26">
        <f>SUMIF($L$4:$AA$4,"SUBTOTAL",$L$22:$AA$22)</f>
        <v>5.8776924860528945</v>
      </c>
    </row>
    <row r="23" spans="1:28" ht="11.25" customHeight="1" x14ac:dyDescent="0.3">
      <c r="A23" s="103"/>
      <c r="B23" s="28" t="s">
        <v>86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79</v>
      </c>
      <c r="H23" s="29" t="s">
        <v>72</v>
      </c>
      <c r="I23" s="29">
        <f>'MERCADO TE'!$U$20</f>
        <v>5511.7490000000016</v>
      </c>
      <c r="J23" s="15"/>
      <c r="L23" s="26">
        <f>'TE BE'!$L$23*'TE BE'!$L$48</f>
        <v>0</v>
      </c>
      <c r="M23" s="26">
        <f>'TE BE'!$M$23*'TE BE'!$M$48</f>
        <v>3.446982044961127</v>
      </c>
      <c r="N23" s="26">
        <f>'TE BE'!$N$23*'TE BE'!$N$48</f>
        <v>0</v>
      </c>
      <c r="O23" s="26">
        <f>'TE BE'!$O$23*'TE BE'!$O$48</f>
        <v>0</v>
      </c>
      <c r="P23" s="26">
        <f>'TE BE'!$P$23*'TE BE'!$P$48</f>
        <v>0</v>
      </c>
      <c r="Q23" s="26">
        <f>SUM($L$23:$P$23)</f>
        <v>3.446982044961127</v>
      </c>
      <c r="R23" s="26">
        <f>'TE BE'!$R$23*'TE BE'!$R$48</f>
        <v>2.3362954426155134</v>
      </c>
      <c r="S23" s="26">
        <f>SUM($R$23:$R$23)</f>
        <v>2.3362954426155134</v>
      </c>
      <c r="T23" s="26">
        <f>'TE BE'!$T$23*'TE BE'!$T$48</f>
        <v>0</v>
      </c>
      <c r="U23" s="26">
        <f>'TE BE'!$U$23*'TE BE'!$U$48</f>
        <v>0</v>
      </c>
      <c r="V23" s="26">
        <f>'TE BE'!$V$23*'TE BE'!$V$48</f>
        <v>0</v>
      </c>
      <c r="W23" s="26">
        <f>SUM($T$23:$V$23)</f>
        <v>0</v>
      </c>
      <c r="X23" s="26">
        <f>'TE BE'!$AB$23*'TE BE'!$X$48</f>
        <v>0</v>
      </c>
      <c r="Y23" s="26">
        <f>SUM($X$23:$X$23)</f>
        <v>0</v>
      </c>
      <c r="Z23" s="26">
        <f>'TE BE'!$Z$23*'TE BE'!$Z$48</f>
        <v>9.4414998476254064E-2</v>
      </c>
      <c r="AA23" s="26">
        <f>SUM($Z$23:$Z$23)</f>
        <v>9.4414998476254064E-2</v>
      </c>
      <c r="AB23" s="26">
        <f>SUMIF($L$4:$AA$4,"SUBTOTAL",$L$23:$AA$23)</f>
        <v>5.8776924860528945</v>
      </c>
    </row>
    <row r="24" spans="1:28" ht="11.25" customHeight="1" x14ac:dyDescent="0.3">
      <c r="A24" s="103"/>
      <c r="B24" s="103" t="s">
        <v>71</v>
      </c>
      <c r="C24" s="103" t="s">
        <v>43</v>
      </c>
      <c r="D24" s="103" t="s">
        <v>89</v>
      </c>
      <c r="E24" s="103" t="s">
        <v>25</v>
      </c>
      <c r="F24" s="103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'TE BE'!$L$24*'TE BE'!$L$48</f>
        <v>0</v>
      </c>
      <c r="M24" s="26">
        <f>'TE BE'!$M$24*'TE BE'!$M$48</f>
        <v>3.446982044961127</v>
      </c>
      <c r="N24" s="26">
        <f>'TE BE'!$N$24*'TE BE'!$N$48</f>
        <v>0</v>
      </c>
      <c r="O24" s="26">
        <f>'TE BE'!$O$24*'TE BE'!$O$48</f>
        <v>0</v>
      </c>
      <c r="P24" s="26">
        <f>'TE BE'!$P$24*'TE BE'!$P$48</f>
        <v>0</v>
      </c>
      <c r="Q24" s="26">
        <f>SUM($L$24:$P$24)</f>
        <v>3.446982044961127</v>
      </c>
      <c r="R24" s="26">
        <f>'TE BE'!$R$24*'TE BE'!$R$48</f>
        <v>2.3362954426155134</v>
      </c>
      <c r="S24" s="26">
        <f>SUM($R$24:$R$24)</f>
        <v>2.3362954426155134</v>
      </c>
      <c r="T24" s="26">
        <f>'TE BE'!$T$24*'TE BE'!$T$48</f>
        <v>0</v>
      </c>
      <c r="U24" s="26">
        <f>'TE BE'!$U$24*'TE BE'!$U$48</f>
        <v>0</v>
      </c>
      <c r="V24" s="26">
        <f>'TE BE'!$V$24*'TE BE'!$V$48</f>
        <v>0</v>
      </c>
      <c r="W24" s="26">
        <f>SUM($T$24:$V$24)</f>
        <v>0</v>
      </c>
      <c r="X24" s="26">
        <f>'TE BE'!$AB$24*'TE BE'!$X$48</f>
        <v>0</v>
      </c>
      <c r="Y24" s="26">
        <f>SUM($X$24:$X$24)</f>
        <v>0</v>
      </c>
      <c r="Z24" s="26">
        <f>'TE BE'!$Z$24*'TE BE'!$Z$48</f>
        <v>9.4414998476254064E-2</v>
      </c>
      <c r="AA24" s="26">
        <f>SUM($Z$24:$Z$24)</f>
        <v>9.4414998476254064E-2</v>
      </c>
      <c r="AB24" s="26">
        <f>SUMIF($L$4:$AA$4,"SUBTOTAL",$L$24:$AA$24)</f>
        <v>5.8776924860528945</v>
      </c>
    </row>
    <row r="25" spans="1:28" ht="11.25" customHeight="1" x14ac:dyDescent="0.3">
      <c r="A25" s="103"/>
      <c r="B25" s="103"/>
      <c r="C25" s="103"/>
      <c r="D25" s="103"/>
      <c r="E25" s="103"/>
      <c r="F25" s="103"/>
      <c r="G25" s="29" t="s">
        <v>85</v>
      </c>
      <c r="H25" s="29" t="s">
        <v>72</v>
      </c>
      <c r="I25" s="29">
        <f>'MERCADO TE'!$U$22</f>
        <v>0</v>
      </c>
      <c r="J25" s="15"/>
      <c r="L25" s="26">
        <f>'TE BE'!$L$25*'TE BE'!$L$48</f>
        <v>0</v>
      </c>
      <c r="M25" s="26">
        <f>'TE BE'!$M$25*'TE BE'!$M$48</f>
        <v>3.446982044961127</v>
      </c>
      <c r="N25" s="26">
        <f>'TE BE'!$N$25*'TE BE'!$N$48</f>
        <v>0</v>
      </c>
      <c r="O25" s="26">
        <f>'TE BE'!$O$25*'TE BE'!$O$48</f>
        <v>0</v>
      </c>
      <c r="P25" s="26">
        <f>'TE BE'!$P$25*'TE BE'!$P$48</f>
        <v>0</v>
      </c>
      <c r="Q25" s="26">
        <f>SUM($L$25:$P$25)</f>
        <v>3.446982044961127</v>
      </c>
      <c r="R25" s="26">
        <f>'TE BE'!$R$25*'TE BE'!$R$48</f>
        <v>2.3362954426155134</v>
      </c>
      <c r="S25" s="26">
        <f>SUM($R$25:$R$25)</f>
        <v>2.3362954426155134</v>
      </c>
      <c r="T25" s="26">
        <f>'TE BE'!$T$25*'TE BE'!$T$48</f>
        <v>0</v>
      </c>
      <c r="U25" s="26">
        <f>'TE BE'!$U$25*'TE BE'!$U$48</f>
        <v>0</v>
      </c>
      <c r="V25" s="26">
        <f>'TE BE'!$V$25*'TE BE'!$V$48</f>
        <v>0</v>
      </c>
      <c r="W25" s="26">
        <f>SUM($T$25:$V$25)</f>
        <v>0</v>
      </c>
      <c r="X25" s="26">
        <f>'TE BE'!$AB$25*'TE BE'!$X$48</f>
        <v>0</v>
      </c>
      <c r="Y25" s="26">
        <f>SUM($X$25:$X$25)</f>
        <v>0</v>
      </c>
      <c r="Z25" s="26">
        <f>'TE BE'!$Z$25*'TE BE'!$Z$48</f>
        <v>9.4414998476254064E-2</v>
      </c>
      <c r="AA25" s="26">
        <f>SUM($Z$25:$Z$25)</f>
        <v>9.4414998476254064E-2</v>
      </c>
      <c r="AB25" s="26">
        <f>SUMIF($L$4:$AA$4,"SUBTOTAL",$L$25:$AA$25)</f>
        <v>5.8776924860528945</v>
      </c>
    </row>
    <row r="26" spans="1:28" ht="11.25" customHeight="1" x14ac:dyDescent="0.3">
      <c r="A26" s="103"/>
      <c r="B26" s="103"/>
      <c r="C26" s="103"/>
      <c r="D26" s="103"/>
      <c r="E26" s="103"/>
      <c r="F26" s="103"/>
      <c r="G26" s="29" t="s">
        <v>74</v>
      </c>
      <c r="H26" s="29" t="s">
        <v>72</v>
      </c>
      <c r="I26" s="29">
        <f>'MERCADO TE'!$U$23</f>
        <v>0</v>
      </c>
      <c r="J26" s="15"/>
      <c r="L26" s="26">
        <f>'TE BE'!$L$26*'TE BE'!$L$48</f>
        <v>0</v>
      </c>
      <c r="M26" s="26">
        <f>'TE BE'!$M$26*'TE BE'!$M$48</f>
        <v>3.446982044961127</v>
      </c>
      <c r="N26" s="26">
        <f>'TE BE'!$N$26*'TE BE'!$N$48</f>
        <v>0</v>
      </c>
      <c r="O26" s="26">
        <f>'TE BE'!$O$26*'TE BE'!$O$48</f>
        <v>0</v>
      </c>
      <c r="P26" s="26">
        <f>'TE BE'!$P$26*'TE BE'!$P$48</f>
        <v>0</v>
      </c>
      <c r="Q26" s="26">
        <f>SUM($L$26:$P$26)</f>
        <v>3.446982044961127</v>
      </c>
      <c r="R26" s="26">
        <f>'TE BE'!$R$26*'TE BE'!$R$48</f>
        <v>2.3362954426155134</v>
      </c>
      <c r="S26" s="26">
        <f>SUM($R$26:$R$26)</f>
        <v>2.3362954426155134</v>
      </c>
      <c r="T26" s="26">
        <f>'TE BE'!$T$26*'TE BE'!$T$48</f>
        <v>0</v>
      </c>
      <c r="U26" s="26">
        <f>'TE BE'!$U$26*'TE BE'!$U$48</f>
        <v>0</v>
      </c>
      <c r="V26" s="26">
        <f>'TE BE'!$V$26*'TE BE'!$V$48</f>
        <v>0</v>
      </c>
      <c r="W26" s="26">
        <f>SUM($T$26:$V$26)</f>
        <v>0</v>
      </c>
      <c r="X26" s="26">
        <f>'TE BE'!$AB$26*'TE BE'!$X$48</f>
        <v>0</v>
      </c>
      <c r="Y26" s="26">
        <f>SUM($X$26:$X$26)</f>
        <v>0</v>
      </c>
      <c r="Z26" s="26">
        <f>'TE BE'!$Z$26*'TE BE'!$Z$48</f>
        <v>9.4414998476254064E-2</v>
      </c>
      <c r="AA26" s="26">
        <f>SUM($Z$26:$Z$26)</f>
        <v>9.4414998476254064E-2</v>
      </c>
      <c r="AB26" s="26">
        <f>SUMIF($L$4:$AA$4,"SUBTOTAL",$L$26:$AA$26)</f>
        <v>5.8776924860528945</v>
      </c>
    </row>
    <row r="27" spans="1:28" ht="11.25" customHeight="1" x14ac:dyDescent="0.3">
      <c r="A27" s="103"/>
      <c r="B27" s="28" t="s">
        <v>86</v>
      </c>
      <c r="C27" s="28" t="s">
        <v>43</v>
      </c>
      <c r="D27" s="28" t="s">
        <v>89</v>
      </c>
      <c r="E27" s="28" t="s">
        <v>25</v>
      </c>
      <c r="F27" s="28" t="s">
        <v>25</v>
      </c>
      <c r="G27" s="29" t="s">
        <v>79</v>
      </c>
      <c r="H27" s="29" t="s">
        <v>72</v>
      </c>
      <c r="I27" s="29">
        <f>'MERCADO TE'!$U$24</f>
        <v>0</v>
      </c>
      <c r="J27" s="15"/>
      <c r="L27" s="26">
        <f>'TE BE'!$L$27*'TE BE'!$L$48</f>
        <v>0</v>
      </c>
      <c r="M27" s="26">
        <f>'TE BE'!$M$27*'TE BE'!$M$48</f>
        <v>3.446982044961127</v>
      </c>
      <c r="N27" s="26">
        <f>'TE BE'!$N$27*'TE BE'!$N$48</f>
        <v>0</v>
      </c>
      <c r="O27" s="26">
        <f>'TE BE'!$O$27*'TE BE'!$O$48</f>
        <v>0</v>
      </c>
      <c r="P27" s="26">
        <f>'TE BE'!$P$27*'TE BE'!$P$48</f>
        <v>0</v>
      </c>
      <c r="Q27" s="26">
        <f>SUM($L$27:$P$27)</f>
        <v>3.446982044961127</v>
      </c>
      <c r="R27" s="26">
        <f>'TE BE'!$R$27*'TE BE'!$R$48</f>
        <v>2.3362954426155134</v>
      </c>
      <c r="S27" s="26">
        <f>SUM($R$27:$R$27)</f>
        <v>2.3362954426155134</v>
      </c>
      <c r="T27" s="26">
        <f>'TE BE'!$T$27*'TE BE'!$T$48</f>
        <v>0</v>
      </c>
      <c r="U27" s="26">
        <f>'TE BE'!$U$27*'TE BE'!$U$48</f>
        <v>0</v>
      </c>
      <c r="V27" s="26">
        <f>'TE BE'!$V$27*'TE BE'!$V$48</f>
        <v>0</v>
      </c>
      <c r="W27" s="26">
        <f>SUM($T$27:$V$27)</f>
        <v>0</v>
      </c>
      <c r="X27" s="26">
        <f>'TE BE'!$AB$27*'TE BE'!$X$48</f>
        <v>0</v>
      </c>
      <c r="Y27" s="26">
        <f>SUM($X$27:$X$27)</f>
        <v>0</v>
      </c>
      <c r="Z27" s="26">
        <f>'TE BE'!$Z$27*'TE BE'!$Z$48</f>
        <v>9.4414998476254064E-2</v>
      </c>
      <c r="AA27" s="26">
        <f>SUM($Z$27:$Z$27)</f>
        <v>9.4414998476254064E-2</v>
      </c>
      <c r="AB27" s="26">
        <f>SUMIF($L$4:$AA$4,"SUBTOTAL",$L$27:$AA$27)</f>
        <v>5.8776924860528945</v>
      </c>
    </row>
    <row r="28" spans="1:28" ht="11.25" customHeight="1" x14ac:dyDescent="0.3">
      <c r="A28" s="103"/>
      <c r="B28" s="103" t="s">
        <v>71</v>
      </c>
      <c r="C28" s="103" t="s">
        <v>43</v>
      </c>
      <c r="D28" s="103" t="s">
        <v>90</v>
      </c>
      <c r="E28" s="103" t="s">
        <v>25</v>
      </c>
      <c r="F28" s="103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'TE BE'!$L$28*'TE BE'!$L$48</f>
        <v>0</v>
      </c>
      <c r="M28" s="26">
        <f>'TE BE'!$M$28*'TE BE'!$M$48</f>
        <v>3.446982044961127</v>
      </c>
      <c r="N28" s="26">
        <f>'TE BE'!$N$28*'TE BE'!$N$48</f>
        <v>0</v>
      </c>
      <c r="O28" s="26">
        <f>'TE BE'!$O$28*'TE BE'!$O$48</f>
        <v>0</v>
      </c>
      <c r="P28" s="26">
        <f>'TE BE'!$P$28*'TE BE'!$P$48</f>
        <v>0</v>
      </c>
      <c r="Q28" s="26">
        <f>SUM($L$28:$P$28)</f>
        <v>3.446982044961127</v>
      </c>
      <c r="R28" s="26">
        <f>'TE BE'!$R$28*'TE BE'!$R$48</f>
        <v>2.3362954426155134</v>
      </c>
      <c r="S28" s="26">
        <f>SUM($R$28:$R$28)</f>
        <v>2.3362954426155134</v>
      </c>
      <c r="T28" s="26">
        <f>'TE BE'!$T$28*'TE BE'!$T$48</f>
        <v>0</v>
      </c>
      <c r="U28" s="26">
        <f>'TE BE'!$U$28*'TE BE'!$U$48</f>
        <v>0</v>
      </c>
      <c r="V28" s="26">
        <f>'TE BE'!$V$28*'TE BE'!$V$48</f>
        <v>0</v>
      </c>
      <c r="W28" s="26">
        <f>SUM($T$28:$V$28)</f>
        <v>0</v>
      </c>
      <c r="X28" s="26">
        <f>'TE BE'!$AB$28*'TE BE'!$X$48</f>
        <v>0</v>
      </c>
      <c r="Y28" s="26">
        <f>SUM($X$28:$X$28)</f>
        <v>0</v>
      </c>
      <c r="Z28" s="26">
        <f>'TE BE'!$Z$28*'TE BE'!$Z$48</f>
        <v>9.4414998476254064E-2</v>
      </c>
      <c r="AA28" s="26">
        <f>SUM($Z$28:$Z$28)</f>
        <v>9.4414998476254064E-2</v>
      </c>
      <c r="AB28" s="26">
        <f>SUMIF($L$4:$AA$4,"SUBTOTAL",$L$28:$AA$28)</f>
        <v>5.8776924860528945</v>
      </c>
    </row>
    <row r="29" spans="1:28" ht="11.25" customHeight="1" x14ac:dyDescent="0.3">
      <c r="A29" s="103"/>
      <c r="B29" s="103"/>
      <c r="C29" s="103"/>
      <c r="D29" s="103"/>
      <c r="E29" s="103"/>
      <c r="F29" s="103"/>
      <c r="G29" s="29" t="s">
        <v>85</v>
      </c>
      <c r="H29" s="29" t="s">
        <v>72</v>
      </c>
      <c r="I29" s="29">
        <f>'MERCADO TE'!$U$26</f>
        <v>0</v>
      </c>
      <c r="J29" s="15"/>
      <c r="L29" s="26">
        <f>'TE BE'!$L$29*'TE BE'!$L$48</f>
        <v>0</v>
      </c>
      <c r="M29" s="26">
        <f>'TE BE'!$M$29*'TE BE'!$M$48</f>
        <v>3.446982044961127</v>
      </c>
      <c r="N29" s="26">
        <f>'TE BE'!$N$29*'TE BE'!$N$48</f>
        <v>0</v>
      </c>
      <c r="O29" s="26">
        <f>'TE BE'!$O$29*'TE BE'!$O$48</f>
        <v>0</v>
      </c>
      <c r="P29" s="26">
        <f>'TE BE'!$P$29*'TE BE'!$P$48</f>
        <v>0</v>
      </c>
      <c r="Q29" s="26">
        <f>SUM($L$29:$P$29)</f>
        <v>3.446982044961127</v>
      </c>
      <c r="R29" s="26">
        <f>'TE BE'!$R$29*'TE BE'!$R$48</f>
        <v>2.3362954426155134</v>
      </c>
      <c r="S29" s="26">
        <f>SUM($R$29:$R$29)</f>
        <v>2.3362954426155134</v>
      </c>
      <c r="T29" s="26">
        <f>'TE BE'!$T$29*'TE BE'!$T$48</f>
        <v>0</v>
      </c>
      <c r="U29" s="26">
        <f>'TE BE'!$U$29*'TE BE'!$U$48</f>
        <v>0</v>
      </c>
      <c r="V29" s="26">
        <f>'TE BE'!$V$29*'TE BE'!$V$48</f>
        <v>0</v>
      </c>
      <c r="W29" s="26">
        <f>SUM($T$29:$V$29)</f>
        <v>0</v>
      </c>
      <c r="X29" s="26">
        <f>'TE BE'!$AB$29*'TE BE'!$X$48</f>
        <v>0</v>
      </c>
      <c r="Y29" s="26">
        <f>SUM($X$29:$X$29)</f>
        <v>0</v>
      </c>
      <c r="Z29" s="26">
        <f>'TE BE'!$Z$29*'TE BE'!$Z$48</f>
        <v>9.4414998476254064E-2</v>
      </c>
      <c r="AA29" s="26">
        <f>SUM($Z$29:$Z$29)</f>
        <v>9.4414998476254064E-2</v>
      </c>
      <c r="AB29" s="26">
        <f>SUMIF($L$4:$AA$4,"SUBTOTAL",$L$29:$AA$29)</f>
        <v>5.8776924860528945</v>
      </c>
    </row>
    <row r="30" spans="1:28" ht="11.25" c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"29" t="s">
        <v>72</v>
      </c>
      <c r="I30" s="29">
        <f>'MERCADO TE'!$U$27</f>
        <v>0</v>
      </c>
      <c r="J30" s="15"/>
      <c r="L30" s="26">
        <f>'TE BE'!$L$30*'TE BE'!$L$48</f>
        <v>0</v>
      </c>
      <c r="M30" s="26">
        <f>'TE BE'!$M$30*'TE BE'!$M$48</f>
        <v>3.446982044961127</v>
      </c>
      <c r="N30" s="26">
        <f>'TE BE'!$N$30*'TE BE'!$N$48</f>
        <v>0</v>
      </c>
      <c r="O30" s="26">
        <f>'TE BE'!$O$30*'TE BE'!$O$48</f>
        <v>0</v>
      </c>
      <c r="P30" s="26">
        <f>'TE BE'!$P$30*'TE BE'!$P$48</f>
        <v>0</v>
      </c>
      <c r="Q30" s="26">
        <f>SUM($L$30:$P$30)</f>
        <v>3.446982044961127</v>
      </c>
      <c r="R30" s="26">
        <f>'TE BE'!$R$30*'TE BE'!$R$48</f>
        <v>2.3362954426155134</v>
      </c>
      <c r="S30" s="26">
        <f>SUM($R$30:$R$30)</f>
        <v>2.3362954426155134</v>
      </c>
      <c r="T30" s="26">
        <f>'TE BE'!$T$30*'TE BE'!$T$48</f>
        <v>0</v>
      </c>
      <c r="U30" s="26">
        <f>'TE BE'!$U$30*'TE BE'!$U$48</f>
        <v>0</v>
      </c>
      <c r="V30" s="26">
        <f>'TE BE'!$V$30*'TE BE'!$V$48</f>
        <v>0</v>
      </c>
      <c r="W30" s="26">
        <f>SUM($T$30:$V$30)</f>
        <v>0</v>
      </c>
      <c r="X30" s="26">
        <f>'TE BE'!$AB$30*'TE BE'!$X$48</f>
        <v>0</v>
      </c>
      <c r="Y30" s="26">
        <f>SUM($X$30:$X$30)</f>
        <v>0</v>
      </c>
      <c r="Z30" s="26">
        <f>'TE BE'!$Z$30*'TE BE'!$Z$48</f>
        <v>9.4414998476254064E-2</v>
      </c>
      <c r="AA30" s="26">
        <f>SUM($Z$30:$Z$30)</f>
        <v>9.4414998476254064E-2</v>
      </c>
      <c r="AB30" s="26">
        <f>SUMIF($L$4:$AA$4,"SUBTOTAL",$L$30:$AA$30)</f>
        <v>5.8776924860528945</v>
      </c>
    </row>
    <row r="31" spans="1:28" ht="11.25" customHeight="1" x14ac:dyDescent="0.3">
      <c r="A31" s="103"/>
      <c r="B31" s="28" t="s">
        <v>86</v>
      </c>
      <c r="C31" s="28" t="s">
        <v>43</v>
      </c>
      <c r="D31" s="28" t="s">
        <v>90</v>
      </c>
      <c r="E31" s="28" t="s">
        <v>25</v>
      </c>
      <c r="F31" s="28" t="s">
        <v>25</v>
      </c>
      <c r="G31" s="29" t="s">
        <v>79</v>
      </c>
      <c r="H31" s="29" t="s">
        <v>72</v>
      </c>
      <c r="I31" s="29">
        <f>'MERCADO TE'!$U$28</f>
        <v>0</v>
      </c>
      <c r="J31" s="15"/>
      <c r="L31" s="26">
        <f>'TE BE'!$L$31*'TE BE'!$L$48</f>
        <v>0</v>
      </c>
      <c r="M31" s="26">
        <f>'TE BE'!$M$31*'TE BE'!$M$48</f>
        <v>3.446982044961127</v>
      </c>
      <c r="N31" s="26">
        <f>'TE BE'!$N$31*'TE BE'!$N$48</f>
        <v>0</v>
      </c>
      <c r="O31" s="26">
        <f>'TE BE'!$O$31*'TE BE'!$O$48</f>
        <v>0</v>
      </c>
      <c r="P31" s="26">
        <f>'TE BE'!$P$31*'TE BE'!$P$48</f>
        <v>0</v>
      </c>
      <c r="Q31" s="26">
        <f>SUM($L$31:$P$31)</f>
        <v>3.446982044961127</v>
      </c>
      <c r="R31" s="26">
        <f>'TE BE'!$R$31*'TE BE'!$R$48</f>
        <v>2.3362954426155134</v>
      </c>
      <c r="S31" s="26">
        <f>SUM($R$31:$R$31)</f>
        <v>2.3362954426155134</v>
      </c>
      <c r="T31" s="26">
        <f>'TE BE'!$T$31*'TE BE'!$T$48</f>
        <v>0</v>
      </c>
      <c r="U31" s="26">
        <f>'TE BE'!$U$31*'TE BE'!$U$48</f>
        <v>0</v>
      </c>
      <c r="V31" s="26">
        <f>'TE BE'!$V$31*'TE BE'!$V$48</f>
        <v>0</v>
      </c>
      <c r="W31" s="26">
        <f>SUM($T$31:$V$31)</f>
        <v>0</v>
      </c>
      <c r="X31" s="26">
        <f>'TE BE'!$AB$31*'TE BE'!$X$48</f>
        <v>0</v>
      </c>
      <c r="Y31" s="26">
        <f>SUM($X$31:$X$31)</f>
        <v>0</v>
      </c>
      <c r="Z31" s="26">
        <f>'TE BE'!$Z$31*'TE BE'!$Z$48</f>
        <v>9.4414998476254064E-2</v>
      </c>
      <c r="AA31" s="26">
        <f>SUM($Z$31:$Z$31)</f>
        <v>9.4414998476254064E-2</v>
      </c>
      <c r="AB31" s="26">
        <f>SUMIF($L$4:$AA$4,"SUBTOTAL",$L$31:$AA$31)</f>
        <v>5.8776924860528945</v>
      </c>
    </row>
    <row r="32" spans="1:28" ht="11.25" customHeight="1" x14ac:dyDescent="0.3">
      <c r="A32" s="103"/>
      <c r="B32" s="103" t="s">
        <v>87</v>
      </c>
      <c r="C32" s="103" t="s">
        <v>43</v>
      </c>
      <c r="D32" s="28" t="s">
        <v>25</v>
      </c>
      <c r="E32" s="28" t="s">
        <v>25</v>
      </c>
      <c r="F32" s="28" t="s">
        <v>25</v>
      </c>
      <c r="G32" s="29" t="s">
        <v>79</v>
      </c>
      <c r="H32" s="29" t="s">
        <v>72</v>
      </c>
      <c r="I32" s="29">
        <f>'MERCADO TE'!$U$29</f>
        <v>0</v>
      </c>
      <c r="J32" s="15"/>
      <c r="L32" s="26">
        <f>'TE BE'!$L$32*'TE BE'!$L$48</f>
        <v>0</v>
      </c>
      <c r="M32" s="26">
        <f>'TE BE'!$M$32*'TE BE'!$M$48</f>
        <v>3.446982044961127</v>
      </c>
      <c r="N32" s="26">
        <f>'TE BE'!$N$32*'TE BE'!$N$48</f>
        <v>0</v>
      </c>
      <c r="O32" s="26">
        <f>'TE BE'!$O$32*'TE BE'!$O$48</f>
        <v>0</v>
      </c>
      <c r="P32" s="26">
        <f>'TE BE'!$P$32*'TE BE'!$P$48</f>
        <v>0</v>
      </c>
      <c r="Q32" s="26">
        <f>SUM($L$32:$P$32)</f>
        <v>3.446982044961127</v>
      </c>
      <c r="R32" s="26">
        <f>'TE BE'!$R$32*'TE BE'!$R$48</f>
        <v>2.3362954426155134</v>
      </c>
      <c r="S32" s="26">
        <f>SUM($R$32:$R$32)</f>
        <v>2.3362954426155134</v>
      </c>
      <c r="T32" s="26">
        <f>'TE BE'!$T$32*'TE BE'!$T$48</f>
        <v>0</v>
      </c>
      <c r="U32" s="26">
        <f>'TE BE'!$U$32*'TE BE'!$U$48</f>
        <v>0</v>
      </c>
      <c r="V32" s="26">
        <f>'TE BE'!$V$32*'TE BE'!$V$48</f>
        <v>0</v>
      </c>
      <c r="W32" s="26">
        <f>SUM($T$32:$V$32)</f>
        <v>0</v>
      </c>
      <c r="X32" s="26">
        <f>'TE BE'!$AB$32*'TE BE'!$X$48</f>
        <v>0</v>
      </c>
      <c r="Y32" s="26">
        <f>SUM($X$32:$X$32)</f>
        <v>0</v>
      </c>
      <c r="Z32" s="26">
        <f>'TE BE'!$Z$32*'TE BE'!$Z$48</f>
        <v>9.4414998476254064E-2</v>
      </c>
      <c r="AA32" s="26">
        <f>SUM($Z$32:$Z$32)</f>
        <v>9.4414998476254064E-2</v>
      </c>
      <c r="AB32" s="26">
        <f>SUMIF($L$4:$AA$4,"SUBTOTAL",$L$32:$AA$32)</f>
        <v>5.8776924860528945</v>
      </c>
    </row>
    <row r="33" spans="1:28" ht="11.25" customHeight="1" x14ac:dyDescent="0.3">
      <c r="A33" s="103"/>
      <c r="B33" s="103"/>
      <c r="C33" s="103"/>
      <c r="D33" s="28" t="s">
        <v>89</v>
      </c>
      <c r="E33" s="28" t="s">
        <v>25</v>
      </c>
      <c r="F33" s="28" t="s">
        <v>25</v>
      </c>
      <c r="G33" s="29" t="s">
        <v>79</v>
      </c>
      <c r="H33" s="29" t="s">
        <v>72</v>
      </c>
      <c r="I33" s="29">
        <f>'MERCADO TE'!$U$30</f>
        <v>0</v>
      </c>
      <c r="J33" s="15"/>
      <c r="L33" s="26">
        <f>'TE BE'!$L$33*'TE BE'!$L$48</f>
        <v>0</v>
      </c>
      <c r="M33" s="26">
        <f>'TE BE'!$M$33*'TE BE'!$M$48</f>
        <v>3.446982044961127</v>
      </c>
      <c r="N33" s="26">
        <f>'TE BE'!$N$33*'TE BE'!$N$48</f>
        <v>0</v>
      </c>
      <c r="O33" s="26">
        <f>'TE BE'!$O$33*'TE BE'!$O$48</f>
        <v>0</v>
      </c>
      <c r="P33" s="26">
        <f>'TE BE'!$P$33*'TE BE'!$P$48</f>
        <v>0</v>
      </c>
      <c r="Q33" s="26">
        <f>SUM($L$33:$P$33)</f>
        <v>3.446982044961127</v>
      </c>
      <c r="R33" s="26">
        <f>'TE BE'!$R$33*'TE BE'!$R$48</f>
        <v>2.3362954426155134</v>
      </c>
      <c r="S33" s="26">
        <f>SUM($R$33:$R$33)</f>
        <v>2.3362954426155134</v>
      </c>
      <c r="T33" s="26">
        <f>'TE BE'!$T$33*'TE BE'!$T$48</f>
        <v>0</v>
      </c>
      <c r="U33" s="26">
        <f>'TE BE'!$U$33*'TE BE'!$U$48</f>
        <v>0</v>
      </c>
      <c r="V33" s="26">
        <f>'TE BE'!$V$33*'TE BE'!$V$48</f>
        <v>0</v>
      </c>
      <c r="W33" s="26">
        <f>SUM($T$33:$V$33)</f>
        <v>0</v>
      </c>
      <c r="X33" s="26">
        <f>'TE BE'!$AB$33*'TE BE'!$X$48</f>
        <v>0</v>
      </c>
      <c r="Y33" s="26">
        <f>SUM($X$33:$X$33)</f>
        <v>0</v>
      </c>
      <c r="Z33" s="26">
        <f>'TE BE'!$Z$33*'TE BE'!$Z$48</f>
        <v>9.4414998476254064E-2</v>
      </c>
      <c r="AA33" s="26">
        <f>SUM($Z$33:$Z$33)</f>
        <v>9.4414998476254064E-2</v>
      </c>
      <c r="AB33" s="26">
        <f>SUMIF($L$4:$AA$4,"SUBTOTAL",$L$33:$AA$33)</f>
        <v>5.8776924860528945</v>
      </c>
    </row>
    <row r="34" spans="1:28" ht="11.25" customHeight="1" x14ac:dyDescent="0.3">
      <c r="A34" s="103"/>
      <c r="B34" s="103"/>
      <c r="C34" s="103"/>
      <c r="D34" s="28" t="s">
        <v>90</v>
      </c>
      <c r="E34" s="28" t="s">
        <v>25</v>
      </c>
      <c r="F34" s="28" t="s">
        <v>25</v>
      </c>
      <c r="G34" s="29" t="s">
        <v>79</v>
      </c>
      <c r="H34" s="29" t="s">
        <v>72</v>
      </c>
      <c r="I34" s="29">
        <f>'MERCADO TE'!$U$31</f>
        <v>0</v>
      </c>
      <c r="J34" s="15"/>
      <c r="L34" s="26">
        <f>'TE BE'!$L$34*'TE BE'!$L$48</f>
        <v>0</v>
      </c>
      <c r="M34" s="26">
        <f>'TE BE'!$M$34*'TE BE'!$M$48</f>
        <v>3.446982044961127</v>
      </c>
      <c r="N34" s="26">
        <f>'TE BE'!$N$34*'TE BE'!$N$48</f>
        <v>0</v>
      </c>
      <c r="O34" s="26">
        <f>'TE BE'!$O$34*'TE BE'!$O$48</f>
        <v>0</v>
      </c>
      <c r="P34" s="26">
        <f>'TE BE'!$P$34*'TE BE'!$P$48</f>
        <v>0</v>
      </c>
      <c r="Q34" s="26">
        <f>SUM($L$34:$P$34)</f>
        <v>3.446982044961127</v>
      </c>
      <c r="R34" s="26">
        <f>'TE BE'!$R$34*'TE BE'!$R$48</f>
        <v>2.3362954426155134</v>
      </c>
      <c r="S34" s="26">
        <f>SUM($R$34:$R$34)</f>
        <v>2.3362954426155134</v>
      </c>
      <c r="T34" s="26">
        <f>'TE BE'!$T$34*'TE BE'!$T$48</f>
        <v>0</v>
      </c>
      <c r="U34" s="26">
        <f>'TE BE'!$U$34*'TE BE'!$U$48</f>
        <v>0</v>
      </c>
      <c r="V34" s="26">
        <f>'TE BE'!$V$34*'TE BE'!$V$48</f>
        <v>0</v>
      </c>
      <c r="W34" s="26">
        <f>SUM($T$34:$V$34)</f>
        <v>0</v>
      </c>
      <c r="X34" s="26">
        <f>'TE BE'!$AB$34*'TE BE'!$X$48</f>
        <v>0</v>
      </c>
      <c r="Y34" s="26">
        <f>SUM($X$34:$X$34)</f>
        <v>0</v>
      </c>
      <c r="Z34" s="26">
        <f>'TE BE'!$Z$34*'TE BE'!$Z$48</f>
        <v>9.4414998476254064E-2</v>
      </c>
      <c r="AA34" s="26">
        <f>SUM($Z$34:$Z$34)</f>
        <v>9.4414998476254064E-2</v>
      </c>
      <c r="AB34" s="26">
        <f>SUMIF($L$4:$AA$4,"SUBTOTAL",$L$34:$AA$34)</f>
        <v>5.8776924860528945</v>
      </c>
    </row>
    <row r="35" spans="1:28" ht="11.25" customHeight="1" x14ac:dyDescent="0.3">
      <c r="A35" s="103" t="s">
        <v>33</v>
      </c>
      <c r="B35" s="103" t="s">
        <v>71</v>
      </c>
      <c r="C35" s="103" t="s">
        <v>25</v>
      </c>
      <c r="D35" s="103" t="s">
        <v>25</v>
      </c>
      <c r="E35" s="103" t="s">
        <v>25</v>
      </c>
      <c r="F35" s="103" t="s">
        <v>25</v>
      </c>
      <c r="G35" s="29" t="s">
        <v>73</v>
      </c>
      <c r="H35" s="29" t="s">
        <v>72</v>
      </c>
      <c r="I35" s="29">
        <f>'MERCADO TE'!$U$32</f>
        <v>0.86799999999999977</v>
      </c>
      <c r="J35" s="15"/>
      <c r="L35" s="26">
        <f>'TE BE'!$L$35*'TE BE'!$L$48</f>
        <v>0</v>
      </c>
      <c r="M35" s="26">
        <f>'TE BE'!$M$35*'TE BE'!$M$48</f>
        <v>3.446982044961127</v>
      </c>
      <c r="N35" s="26">
        <f>'TE BE'!$N$35*'TE BE'!$N$48</f>
        <v>0</v>
      </c>
      <c r="O35" s="26">
        <f>'TE BE'!$O$35*'TE BE'!$O$48</f>
        <v>0</v>
      </c>
      <c r="P35" s="26">
        <f>'TE BE'!$P$35*'TE BE'!$P$48</f>
        <v>0</v>
      </c>
      <c r="Q35" s="26">
        <f>SUM($L$35:$P$35)</f>
        <v>3.446982044961127</v>
      </c>
      <c r="R35" s="26">
        <f>'TE BE'!$R$35*'TE BE'!$R$48</f>
        <v>2.3362954426155134</v>
      </c>
      <c r="S35" s="26">
        <f>SUM($R$35:$R$35)</f>
        <v>2.3362954426155134</v>
      </c>
      <c r="T35" s="26">
        <f>'TE BE'!$T$35*'TE BE'!$T$48</f>
        <v>0</v>
      </c>
      <c r="U35" s="26">
        <f>'TE BE'!$U$35*'TE BE'!$U$48</f>
        <v>0</v>
      </c>
      <c r="V35" s="26">
        <f>'TE BE'!$V$35*'TE BE'!$V$48</f>
        <v>0</v>
      </c>
      <c r="W35" s="26">
        <f>SUM($T$35:$V$35)</f>
        <v>0</v>
      </c>
      <c r="X35" s="26">
        <f>'TE BE'!$AB$35*'TE BE'!$X$48</f>
        <v>0</v>
      </c>
      <c r="Y35" s="26">
        <f>SUM($X$35:$X$35)</f>
        <v>0</v>
      </c>
      <c r="Z35" s="26">
        <f>'TE BE'!$Z$35*'TE BE'!$Z$48</f>
        <v>9.4414998476254064E-2</v>
      </c>
      <c r="AA35" s="26">
        <f>SUM($Z$35:$Z$35)</f>
        <v>9.4414998476254064E-2</v>
      </c>
      <c r="AB35" s="26">
        <f>SUMIF($L$4:$AA$4,"SUBTOTAL",$L$35:$AA$35)</f>
        <v>5.8776924860528945</v>
      </c>
    </row>
    <row r="36" spans="1:28" ht="11.25" customHeight="1" x14ac:dyDescent="0.3">
      <c r="A36" s="103"/>
      <c r="B36" s="103"/>
      <c r="C36" s="103"/>
      <c r="D36" s="103"/>
      <c r="E36" s="103"/>
      <c r="F36" s="103"/>
      <c r="G36" s="29" t="s">
        <v>85</v>
      </c>
      <c r="H36" s="29" t="s">
        <v>72</v>
      </c>
      <c r="I36" s="29">
        <f>'MERCADO TE'!$U$33</f>
        <v>0.57500000000000007</v>
      </c>
      <c r="J36" s="15"/>
      <c r="L36" s="26">
        <f>'TE BE'!$L$36*'TE BE'!$L$48</f>
        <v>0</v>
      </c>
      <c r="M36" s="26">
        <f>'TE BE'!$M$36*'TE BE'!$M$48</f>
        <v>3.446982044961127</v>
      </c>
      <c r="N36" s="26">
        <f>'TE BE'!$N$36*'TE BE'!$N$48</f>
        <v>0</v>
      </c>
      <c r="O36" s="26">
        <f>'TE BE'!$O$36*'TE BE'!$O$48</f>
        <v>0</v>
      </c>
      <c r="P36" s="26">
        <f>'TE BE'!$P$36*'TE BE'!$P$48</f>
        <v>0</v>
      </c>
      <c r="Q36" s="26">
        <f>SUM($L$36:$P$36)</f>
        <v>3.446982044961127</v>
      </c>
      <c r="R36" s="26">
        <f>'TE BE'!$R$36*'TE BE'!$R$48</f>
        <v>2.3362954426155134</v>
      </c>
      <c r="S36" s="26">
        <f>SUM($R$36:$R$36)</f>
        <v>2.3362954426155134</v>
      </c>
      <c r="T36" s="26">
        <f>'TE BE'!$T$36*'TE BE'!$T$48</f>
        <v>0</v>
      </c>
      <c r="U36" s="26">
        <f>'TE BE'!$U$36*'TE BE'!$U$48</f>
        <v>0</v>
      </c>
      <c r="V36" s="26">
        <f>'TE BE'!$V$36*'TE BE'!$V$48</f>
        <v>0</v>
      </c>
      <c r="W36" s="26">
        <f>SUM($T$36:$V$36)</f>
        <v>0</v>
      </c>
      <c r="X36" s="26">
        <f>'TE BE'!$AB$36*'TE BE'!$X$48</f>
        <v>0</v>
      </c>
      <c r="Y36" s="26">
        <f>SUM($X$36:$X$36)</f>
        <v>0</v>
      </c>
      <c r="Z36" s="26">
        <f>'TE BE'!$Z$36*'TE BE'!$Z$48</f>
        <v>9.4414998476254064E-2</v>
      </c>
      <c r="AA36" s="26">
        <f>SUM($Z$36:$Z$36)</f>
        <v>9.4414998476254064E-2</v>
      </c>
      <c r="AB36" s="26">
        <f>SUMIF($L$4:$AA$4,"SUBTOTAL",$L$36:$AA$36)</f>
        <v>5.8776924860528945</v>
      </c>
    </row>
    <row r="37" spans="1:28" ht="11.25" customHeight="1" x14ac:dyDescent="0.3">
      <c r="A37" s="103"/>
      <c r="B37" s="103"/>
      <c r="C37" s="103"/>
      <c r="D37" s="103"/>
      <c r="E37" s="103"/>
      <c r="F37" s="103"/>
      <c r="G37" s="29" t="s">
        <v>74</v>
      </c>
      <c r="H37" s="29" t="s">
        <v>72</v>
      </c>
      <c r="I37" s="29">
        <f>'MERCADO TE'!$U$34</f>
        <v>9.5989999999999984</v>
      </c>
      <c r="J37" s="15"/>
      <c r="L37" s="26">
        <f>'TE BE'!$L$37*'TE BE'!$L$48</f>
        <v>0</v>
      </c>
      <c r="M37" s="26">
        <f>'TE BE'!$M$37*'TE BE'!$M$48</f>
        <v>3.446982044961127</v>
      </c>
      <c r="N37" s="26">
        <f>'TE BE'!$N$37*'TE BE'!$N$48</f>
        <v>0</v>
      </c>
      <c r="O37" s="26">
        <f>'TE BE'!$O$37*'TE BE'!$O$48</f>
        <v>0</v>
      </c>
      <c r="P37" s="26">
        <f>'TE BE'!$P$37*'TE BE'!$P$48</f>
        <v>0</v>
      </c>
      <c r="Q37" s="26">
        <f>SUM($L$37:$P$37)</f>
        <v>3.446982044961127</v>
      </c>
      <c r="R37" s="26">
        <f>'TE BE'!$R$37*'TE BE'!$R$48</f>
        <v>2.3362954426155134</v>
      </c>
      <c r="S37" s="26">
        <f>SUM($R$37:$R$37)</f>
        <v>2.3362954426155134</v>
      </c>
      <c r="T37" s="26">
        <f>'TE BE'!$T$37*'TE BE'!$T$48</f>
        <v>0</v>
      </c>
      <c r="U37" s="26">
        <f>'TE BE'!$U$37*'TE BE'!$U$48</f>
        <v>0</v>
      </c>
      <c r="V37" s="26">
        <f>'TE BE'!$V$37*'TE BE'!$V$48</f>
        <v>0</v>
      </c>
      <c r="W37" s="26">
        <f>SUM($T$37:$V$37)</f>
        <v>0</v>
      </c>
      <c r="X37" s="26">
        <f>'TE BE'!$AB$37*'TE BE'!$X$48</f>
        <v>0</v>
      </c>
      <c r="Y37" s="26">
        <f>SUM($X$37:$X$37)</f>
        <v>0</v>
      </c>
      <c r="Z37" s="26">
        <f>'TE BE'!$Z$37*'TE BE'!$Z$48</f>
        <v>9.4414998476254064E-2</v>
      </c>
      <c r="AA37" s="26">
        <f>SUM($Z$37:$Z$37)</f>
        <v>9.4414998476254064E-2</v>
      </c>
      <c r="AB37" s="26">
        <f>SUMIF($L$4:$AA$4,"SUBTOTAL",$L$37:$AA$37)</f>
        <v>5.8776924860528945</v>
      </c>
    </row>
    <row r="38" spans="1:28" ht="11.25" customHeight="1" x14ac:dyDescent="0.3">
      <c r="A38" s="103"/>
      <c r="B38" s="28" t="s">
        <v>86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79</v>
      </c>
      <c r="H38" s="29" t="s">
        <v>72</v>
      </c>
      <c r="I38" s="29">
        <f>'MERCADO TE'!$U$35</f>
        <v>3233.996000000001</v>
      </c>
      <c r="J38" s="15"/>
      <c r="L38" s="26">
        <f>'TE BE'!$L$38*'TE BE'!$L$48</f>
        <v>0</v>
      </c>
      <c r="M38" s="26">
        <f>'TE BE'!$M$38*'TE BE'!$M$48</f>
        <v>3.446982044961127</v>
      </c>
      <c r="N38" s="26">
        <f>'TE BE'!$N$38*'TE BE'!$N$48</f>
        <v>0</v>
      </c>
      <c r="O38" s="26">
        <f>'TE BE'!$O$38*'TE BE'!$O$48</f>
        <v>0</v>
      </c>
      <c r="P38" s="26">
        <f>'TE BE'!$P$38*'TE BE'!$P$48</f>
        <v>0</v>
      </c>
      <c r="Q38" s="26">
        <f>SUM($L$38:$P$38)</f>
        <v>3.446982044961127</v>
      </c>
      <c r="R38" s="26">
        <f>'TE BE'!$R$38*'TE BE'!$R$48</f>
        <v>2.3362954426155134</v>
      </c>
      <c r="S38" s="26">
        <f>SUM($R$38:$R$38)</f>
        <v>2.3362954426155134</v>
      </c>
      <c r="T38" s="26">
        <f>'TE BE'!$T$38*'TE BE'!$T$48</f>
        <v>0</v>
      </c>
      <c r="U38" s="26">
        <f>'TE BE'!$U$38*'TE BE'!$U$48</f>
        <v>0</v>
      </c>
      <c r="V38" s="26">
        <f>'TE BE'!$V$38*'TE BE'!$V$48</f>
        <v>0</v>
      </c>
      <c r="W38" s="26">
        <f>SUM($T$38:$V$38)</f>
        <v>0</v>
      </c>
      <c r="X38" s="26">
        <f>'TE BE'!$AB$38*'TE BE'!$X$48</f>
        <v>0</v>
      </c>
      <c r="Y38" s="26">
        <f>SUM($X$38:$X$38)</f>
        <v>0</v>
      </c>
      <c r="Z38" s="26">
        <f>'TE BE'!$Z$38*'TE BE'!$Z$48</f>
        <v>9.4414998476254064E-2</v>
      </c>
      <c r="AA38" s="26">
        <f>SUM($Z$38:$Z$38)</f>
        <v>9.4414998476254064E-2</v>
      </c>
      <c r="AB38" s="26">
        <f>SUMIF($L$4:$AA$4,"SUBTOTAL",$L$38:$AA$38)</f>
        <v>5.8776924860528945</v>
      </c>
    </row>
    <row r="39" spans="1:28" ht="11.25" customHeight="1" x14ac:dyDescent="0.3">
      <c r="A39" s="103"/>
      <c r="B39" s="28" t="s">
        <v>87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79</v>
      </c>
      <c r="H39" s="29" t="s">
        <v>72</v>
      </c>
      <c r="I39" s="29">
        <f>'MERCADO TE'!$U$36</f>
        <v>0</v>
      </c>
      <c r="J39" s="15"/>
      <c r="L39" s="26">
        <f>'TE BE'!$L$39*'TE BE'!$L$48</f>
        <v>0</v>
      </c>
      <c r="M39" s="26">
        <f>'TE BE'!$M$39*'TE BE'!$M$48</f>
        <v>3.446982044961127</v>
      </c>
      <c r="N39" s="26">
        <f>'TE BE'!$N$39*'TE BE'!$N$48</f>
        <v>0</v>
      </c>
      <c r="O39" s="26">
        <f>'TE BE'!$O$39*'TE BE'!$O$48</f>
        <v>0</v>
      </c>
      <c r="P39" s="26">
        <f>'TE BE'!$P$39*'TE BE'!$P$48</f>
        <v>0</v>
      </c>
      <c r="Q39" s="26">
        <f>SUM($L$39:$P$39)</f>
        <v>3.446982044961127</v>
      </c>
      <c r="R39" s="26">
        <f>'TE BE'!$R$39*'TE BE'!$R$48</f>
        <v>2.3362954426155134</v>
      </c>
      <c r="S39" s="26">
        <f>SUM($R$39:$R$39)</f>
        <v>2.3362954426155134</v>
      </c>
      <c r="T39" s="26">
        <f>'TE BE'!$T$39*'TE BE'!$T$48</f>
        <v>0</v>
      </c>
      <c r="U39" s="26">
        <f>'TE BE'!$U$39*'TE BE'!$U$48</f>
        <v>0</v>
      </c>
      <c r="V39" s="26">
        <f>'TE BE'!$V$39*'TE BE'!$V$48</f>
        <v>0</v>
      </c>
      <c r="W39" s="26">
        <f>SUM($T$39:$V$39)</f>
        <v>0</v>
      </c>
      <c r="X39" s="26">
        <f>'TE BE'!$AB$39*'TE BE'!$X$48</f>
        <v>0</v>
      </c>
      <c r="Y39" s="26">
        <f>SUM($X$39:$X$39)</f>
        <v>0</v>
      </c>
      <c r="Z39" s="26">
        <f>'TE BE'!$Z$39*'TE BE'!$Z$48</f>
        <v>9.4414998476254064E-2</v>
      </c>
      <c r="AA39" s="26">
        <f>SUM($Z$39:$Z$39)</f>
        <v>9.4414998476254064E-2</v>
      </c>
      <c r="AB39" s="26">
        <f>SUMIF($L$4:$AA$4,"SUBTOTAL",$L$39:$AA$39)</f>
        <v>5.8776924860528945</v>
      </c>
    </row>
    <row r="40" spans="1:28" ht="11.25" customHeight="1" x14ac:dyDescent="0.3">
      <c r="A40" s="103" t="s">
        <v>45</v>
      </c>
      <c r="B40" s="103" t="s">
        <v>86</v>
      </c>
      <c r="C40" s="103" t="s">
        <v>46</v>
      </c>
      <c r="D40" s="28" t="s">
        <v>47</v>
      </c>
      <c r="E40" s="28" t="s">
        <v>25</v>
      </c>
      <c r="F40" s="28" t="s">
        <v>25</v>
      </c>
      <c r="G40" s="29" t="s">
        <v>79</v>
      </c>
      <c r="H40" s="29" t="s">
        <v>72</v>
      </c>
      <c r="I40" s="29">
        <f>'MERCADO TE'!$U$37</f>
        <v>1210.0279999999998</v>
      </c>
      <c r="J40" s="15"/>
      <c r="L40" s="26">
        <f>'TE BE'!$L$40*'TE BE'!$L$48</f>
        <v>0</v>
      </c>
      <c r="M40" s="26">
        <f>'TE BE'!$M$40*'TE BE'!$M$48</f>
        <v>1.8958401247286201</v>
      </c>
      <c r="N40" s="26">
        <f>'TE BE'!$N$40*'TE BE'!$N$48</f>
        <v>0</v>
      </c>
      <c r="O40" s="26">
        <f>'TE BE'!$O$40*'TE BE'!$O$48</f>
        <v>0</v>
      </c>
      <c r="P40" s="26">
        <f>'TE BE'!$P$40*'TE BE'!$P$48</f>
        <v>0</v>
      </c>
      <c r="Q40" s="26">
        <f>SUM($L$40:$P$40)</f>
        <v>1.8958401247286201</v>
      </c>
      <c r="R40" s="26">
        <f>'TE BE'!$R$40*'TE BE'!$R$48</f>
        <v>1.2849624934385324</v>
      </c>
      <c r="S40" s="26">
        <f>SUM($R$40:$R$40)</f>
        <v>1.2849624934385324</v>
      </c>
      <c r="T40" s="26">
        <f>'TE BE'!$T$40*'TE BE'!$T$48</f>
        <v>0</v>
      </c>
      <c r="U40" s="26">
        <f>'TE BE'!$U$40*'TE BE'!$U$48</f>
        <v>0</v>
      </c>
      <c r="V40" s="26">
        <f>'TE BE'!$V$40*'TE BE'!$V$48</f>
        <v>0</v>
      </c>
      <c r="W40" s="26">
        <f>SUM($T$40:$V$40)</f>
        <v>0</v>
      </c>
      <c r="X40" s="26">
        <f>'TE BE'!$AB$40*'TE BE'!$X$48</f>
        <v>0</v>
      </c>
      <c r="Y40" s="26">
        <f>SUM($X$40:$X$40)</f>
        <v>0</v>
      </c>
      <c r="Z40" s="26">
        <f>'TE BE'!$Z$40*'TE BE'!$Z$48</f>
        <v>5.1928249161939742E-2</v>
      </c>
      <c r="AA40" s="26">
        <f>SUM($Z$40:$Z$40)</f>
        <v>5.1928249161939742E-2</v>
      </c>
      <c r="AB40" s="26">
        <f>SUMIF($L$4:$AA$4,"SUBTOTAL",$L$40:$AA$40)</f>
        <v>3.2327308673290922</v>
      </c>
    </row>
    <row r="41" spans="1:28" ht="11.25" customHeight="1" x14ac:dyDescent="0.3">
      <c r="A41" s="103"/>
      <c r="B41" s="103"/>
      <c r="C41" s="103"/>
      <c r="D41" s="29" t="s">
        <v>91</v>
      </c>
      <c r="E41" s="29" t="s">
        <v>25</v>
      </c>
      <c r="F41" s="29" t="s">
        <v>25</v>
      </c>
      <c r="G41" s="29" t="s">
        <v>79</v>
      </c>
      <c r="H41" s="29" t="s">
        <v>72</v>
      </c>
      <c r="I41" s="29">
        <f>'MERCADO TE'!$U$38</f>
        <v>0</v>
      </c>
      <c r="J41" s="15"/>
      <c r="L41" s="26">
        <f>'TE BE'!$L$41*'TE BE'!$L$48</f>
        <v>0</v>
      </c>
      <c r="M41" s="26">
        <f>'TE BE'!$M$41*'TE BE'!$M$48</f>
        <v>2.0681892269766764</v>
      </c>
      <c r="N41" s="26">
        <f>'TE BE'!$N$41*'TE BE'!$N$48</f>
        <v>0</v>
      </c>
      <c r="O41" s="26">
        <f>'TE BE'!$O$41*'TE BE'!$O$48</f>
        <v>0</v>
      </c>
      <c r="P41" s="26">
        <f>'TE BE'!$P$41*'TE BE'!$P$48</f>
        <v>0</v>
      </c>
      <c r="Q41" s="26">
        <f>SUM($L$41:$P$41)</f>
        <v>2.0681892269766764</v>
      </c>
      <c r="R41" s="26">
        <f>'TE BE'!$R$41*'TE BE'!$R$48</f>
        <v>1.4017772655693079</v>
      </c>
      <c r="S41" s="26">
        <f>SUM($R$41:$R$41)</f>
        <v>1.4017772655693079</v>
      </c>
      <c r="T41" s="26">
        <f>'TE BE'!$T$41*'TE BE'!$T$48</f>
        <v>0</v>
      </c>
      <c r="U41" s="26">
        <f>'TE BE'!$U$41*'TE BE'!$U$48</f>
        <v>0</v>
      </c>
      <c r="V41" s="26">
        <f>'TE BE'!$V$41*'TE BE'!$V$48</f>
        <v>0</v>
      </c>
      <c r="W41" s="26">
        <f>SUM($T$41:$V$41)</f>
        <v>0</v>
      </c>
      <c r="X41" s="26">
        <f>'TE BE'!$AB$41*'TE BE'!$X$48</f>
        <v>0</v>
      </c>
      <c r="Y41" s="26">
        <f>SUM($X$41:$X$41)</f>
        <v>0</v>
      </c>
      <c r="Z41" s="26">
        <f>'TE BE'!$Z$41*'TE BE'!$Z$48</f>
        <v>5.6648999085752431E-2</v>
      </c>
      <c r="AA41" s="26">
        <f>SUM($Z$41:$Z$41)</f>
        <v>5.6648999085752431E-2</v>
      </c>
      <c r="AB41" s="26">
        <f>SUMIF($L$4:$AA$4,"SUBTOTAL",$L$41:$AA$41)</f>
        <v>3.5266154916317367</v>
      </c>
    </row>
    <row r="43" spans="1:28" ht="11.25" customHeight="1" x14ac:dyDescent="0.3">
      <c r="K43" s="31" t="s">
        <v>546</v>
      </c>
      <c r="L43" s="26">
        <f t="shared" ref="L43:AB43" si="0">SUMPRODUCT($I$5:$I$41,L$5:L$41)</f>
        <v>0</v>
      </c>
      <c r="M43" s="26">
        <f t="shared" si="0"/>
        <v>140497.53145800333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140497.53145800333</v>
      </c>
      <c r="R43" s="26">
        <f t="shared" si="0"/>
        <v>95226.414922554264</v>
      </c>
      <c r="S43" s="26">
        <f t="shared" si="0"/>
        <v>95226.414922554264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3848.3154381137601</v>
      </c>
      <c r="AA43" s="26">
        <f t="shared" si="0"/>
        <v>3848.3154381137601</v>
      </c>
      <c r="AB43" s="26">
        <f t="shared" si="0"/>
        <v>239572.26181867137</v>
      </c>
    </row>
    <row r="44" spans="1:28" ht="11.25" customHeight="1" x14ac:dyDescent="0.3">
      <c r="K44" s="31" t="s">
        <v>465</v>
      </c>
      <c r="L44" s="26">
        <f>CUSTOS!$D$30</f>
        <v>0</v>
      </c>
      <c r="M44" s="26">
        <f>CUSTOS!$D$31</f>
        <v>1190477.8099999998</v>
      </c>
      <c r="N44" s="26">
        <f>CUSTOS!$D$32</f>
        <v>0</v>
      </c>
      <c r="O44" s="26">
        <f>CUSTOS!$D$33</f>
        <v>0</v>
      </c>
      <c r="P44" s="26">
        <f>CUSTOS!$D$34</f>
        <v>-564354.49</v>
      </c>
      <c r="Q44" s="26">
        <f>CUSTOS!$D$35</f>
        <v>626123.31999999983</v>
      </c>
      <c r="R44" s="26">
        <f>CUSTOS!$D$36</f>
        <v>6650911.5490313908</v>
      </c>
      <c r="S44" s="26">
        <f>CUSTOS!$D$37</f>
        <v>6650911.5490313908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268778.42258875689</v>
      </c>
      <c r="AA44" s="26">
        <f>CUSTOS!$D$45</f>
        <v>268778.42258875689</v>
      </c>
      <c r="AB44" s="26">
        <f>CUSTOS!$D$46</f>
        <v>7545813.2916201474</v>
      </c>
    </row>
    <row r="45" spans="1:28" ht="11.25" customHeight="1" x14ac:dyDescent="0.3">
      <c r="K45" s="31" t="s">
        <v>466</v>
      </c>
      <c r="L45" s="26">
        <f>CUSTOS!$E$30</f>
        <v>0</v>
      </c>
      <c r="M45" s="26">
        <f>CUSTOS!$E$31</f>
        <v>140497.53145800333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140497.53145800333</v>
      </c>
      <c r="R45" s="26">
        <f>CUSTOS!$E$36</f>
        <v>95226.414922554279</v>
      </c>
      <c r="S45" s="26">
        <f>CUSTOS!$E$37</f>
        <v>95226.414922554279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3848.3154381137597</v>
      </c>
      <c r="AA45" s="26">
        <f>CUSTOS!$E$45</f>
        <v>3848.3154381137597</v>
      </c>
      <c r="AB45" s="26">
        <f>CUSTOS!$E$46</f>
        <v>239572.26181867137</v>
      </c>
    </row>
    <row r="46" spans="1:28" ht="11.25" customHeight="1" x14ac:dyDescent="0.3">
      <c r="K46" s="31" t="s">
        <v>467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3">
      <c r="K47" s="31" t="s">
        <v>547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0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3">
      <c r="K48" s="31" t="s">
        <v>542</v>
      </c>
      <c r="L48" s="26">
        <f>IF(L44&lt;&gt;0,L46/L44,0)</f>
        <v>0</v>
      </c>
      <c r="M48" s="26">
        <f>IF(M44&lt;&gt;0,M46/M44,0)</f>
        <v>0</v>
      </c>
      <c r="N48" s="26">
        <f>IF(N44&lt;&gt;0,N46/N44,0)</f>
        <v>0</v>
      </c>
      <c r="O48" s="26">
        <f>IF(O44&lt;&gt;0,O46/O44,0)</f>
        <v>0</v>
      </c>
      <c r="P48" s="26">
        <f>IF(P44&lt;&gt;0,P46/P44,0)</f>
        <v>0</v>
      </c>
      <c r="Q48" s="26"/>
      <c r="R48" s="26">
        <f>IF(R44&lt;&gt;0,R46/R44,0)</f>
        <v>0</v>
      </c>
      <c r="S48" s="26"/>
      <c r="T48" s="26">
        <f>IF(T44&lt;&gt;0,T46/T44,0)</f>
        <v>0</v>
      </c>
      <c r="U48" s="26">
        <f>IF(U44&lt;&gt;0,U46/U44,0)</f>
        <v>0</v>
      </c>
      <c r="V48" s="26">
        <f>IF(V44&lt;&gt;0,V46/V44,0)</f>
        <v>0</v>
      </c>
      <c r="W48" s="26"/>
      <c r="X48" s="26">
        <f>IF($AB44&lt;&gt;0,X46/($AB44-SUM('TR TE'!$L47:'TR TE'!$AA47)*0),0)</f>
        <v>0</v>
      </c>
      <c r="Y48" s="26"/>
      <c r="Z48" s="26">
        <f>IF(Z44&lt;&gt;0,Z46/Z44,0)</f>
        <v>0</v>
      </c>
      <c r="AA48" s="26"/>
      <c r="AB48" s="26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46" priority="33" operator="notEqual">
      <formula>$L$45</formula>
    </cfRule>
    <cfRule type="cellIs" dxfId="645" priority="34" operator="equal">
      <formula>$L$45</formula>
    </cfRule>
  </conditionalFormatting>
  <conditionalFormatting sqref="M43">
    <cfRule type="cellIs" dxfId="644" priority="31" operator="notEqual">
      <formula>$M$45</formula>
    </cfRule>
    <cfRule type="cellIs" dxfId="643" priority="32" operator="equal">
      <formula>$M$45</formula>
    </cfRule>
  </conditionalFormatting>
  <conditionalFormatting sqref="N43">
    <cfRule type="cellIs" dxfId="642" priority="29" operator="notEqual">
      <formula>$N$45</formula>
    </cfRule>
    <cfRule type="cellIs" dxfId="641" priority="30" operator="equal">
      <formula>$N$45</formula>
    </cfRule>
  </conditionalFormatting>
  <conditionalFormatting sqref="O43">
    <cfRule type="cellIs" dxfId="640" priority="27" operator="notEqual">
      <formula>$O$45</formula>
    </cfRule>
    <cfRule type="cellIs" dxfId="639" priority="28" operator="equal">
      <formula>$O$45</formula>
    </cfRule>
  </conditionalFormatting>
  <conditionalFormatting sqref="P43">
    <cfRule type="cellIs" dxfId="638" priority="25" operator="notEqual">
      <formula>$P$45</formula>
    </cfRule>
    <cfRule type="cellIs" dxfId="637" priority="26" operator="equal">
      <formula>$P$45</formula>
    </cfRule>
  </conditionalFormatting>
  <conditionalFormatting sqref="Q43">
    <cfRule type="cellIs" dxfId="636" priority="23" operator="notEqual">
      <formula>$Q$45</formula>
    </cfRule>
    <cfRule type="cellIs" dxfId="635" priority="24" operator="equal">
      <formula>$Q$45</formula>
    </cfRule>
  </conditionalFormatting>
  <conditionalFormatting sqref="R43">
    <cfRule type="cellIs" dxfId="634" priority="21" operator="notEqual">
      <formula>$R$45</formula>
    </cfRule>
    <cfRule type="cellIs" dxfId="633" priority="22" operator="equal">
      <formula>$R$45</formula>
    </cfRule>
  </conditionalFormatting>
  <conditionalFormatting sqref="S43">
    <cfRule type="cellIs" dxfId="632" priority="19" operator="notEqual">
      <formula>$S$45</formula>
    </cfRule>
    <cfRule type="cellIs" dxfId="631" priority="20" operator="equal">
      <formula>$S$45</formula>
    </cfRule>
  </conditionalFormatting>
  <conditionalFormatting sqref="T43">
    <cfRule type="cellIs" dxfId="630" priority="17" operator="notEqual">
      <formula>$T$45</formula>
    </cfRule>
    <cfRule type="cellIs" dxfId="629" priority="18" operator="equal">
      <formula>$T$45</formula>
    </cfRule>
  </conditionalFormatting>
  <conditionalFormatting sqref="U43">
    <cfRule type="cellIs" dxfId="628" priority="15" operator="notEqual">
      <formula>$U$45</formula>
    </cfRule>
    <cfRule type="cellIs" dxfId="627" priority="16" operator="equal">
      <formula>$U$45</formula>
    </cfRule>
  </conditionalFormatting>
  <conditionalFormatting sqref="V43">
    <cfRule type="cellIs" dxfId="626" priority="13" operator="notEqual">
      <formula>$V$45</formula>
    </cfRule>
    <cfRule type="cellIs" dxfId="625" priority="14" operator="equal">
      <formula>$V$45</formula>
    </cfRule>
  </conditionalFormatting>
  <conditionalFormatting sqref="W43">
    <cfRule type="cellIs" dxfId="624" priority="11" operator="notEqual">
      <formula>$W$45</formula>
    </cfRule>
    <cfRule type="cellIs" dxfId="623" priority="12" operator="equal">
      <formula>$W$45</formula>
    </cfRule>
  </conditionalFormatting>
  <conditionalFormatting sqref="X43">
    <cfRule type="cellIs" dxfId="622" priority="9" operator="notEqual">
      <formula>$X$45</formula>
    </cfRule>
    <cfRule type="cellIs" dxfId="621" priority="10" operator="equal">
      <formula>$X$45</formula>
    </cfRule>
  </conditionalFormatting>
  <conditionalFormatting sqref="Y43">
    <cfRule type="cellIs" dxfId="620" priority="7" operator="notEqual">
      <formula>$Y$45</formula>
    </cfRule>
    <cfRule type="cellIs" dxfId="619" priority="8" operator="equal">
      <formula>$Y$45</formula>
    </cfRule>
  </conditionalFormatting>
  <conditionalFormatting sqref="Z43">
    <cfRule type="cellIs" dxfId="618" priority="5" operator="notEqual">
      <formula>$Z$45</formula>
    </cfRule>
    <cfRule type="cellIs" dxfId="617" priority="6" operator="equal">
      <formula>$Z$45</formula>
    </cfRule>
  </conditionalFormatting>
  <conditionalFormatting sqref="AA43">
    <cfRule type="cellIs" dxfId="616" priority="3" operator="notEqual">
      <formula>$AA$45</formula>
    </cfRule>
    <cfRule type="cellIs" dxfId="615" priority="4" operator="equal">
      <formula>$AA$45</formula>
    </cfRule>
  </conditionalFormatting>
  <conditionalFormatting sqref="AB43">
    <cfRule type="cellIs" dxfId="614" priority="1" operator="notEqual">
      <formula>$AB$45</formula>
    </cfRule>
    <cfRule type="cellIs" dxfId="61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569A-38B7-4CC0-9047-4C648CF58A49}">
  <dimension ref="A1:AB49"/>
  <sheetViews>
    <sheetView showGridLines="0" topLeftCell="L1" workbookViewId="0">
      <selection activeCell="AB43" sqref="AB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7.88671875" style="9" bestFit="1" customWidth="1"/>
    <col min="13" max="13" width="10" style="9" bestFit="1" customWidth="1"/>
    <col min="14" max="14" width="7.88671875" style="9" bestFit="1" customWidth="1"/>
    <col min="15" max="15" width="11.109375" style="9" bestFit="1" customWidth="1"/>
    <col min="16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102" t="s">
        <v>62</v>
      </c>
      <c r="B1" s="102" t="s">
        <v>63</v>
      </c>
      <c r="C1" s="102" t="s">
        <v>64</v>
      </c>
      <c r="D1" s="102" t="s">
        <v>65</v>
      </c>
      <c r="E1" s="102" t="s">
        <v>66</v>
      </c>
      <c r="F1" s="102" t="s">
        <v>15</v>
      </c>
      <c r="G1" s="102" t="s">
        <v>68</v>
      </c>
      <c r="H1" s="102" t="s">
        <v>69</v>
      </c>
      <c r="I1" s="102" t="s">
        <v>524</v>
      </c>
      <c r="J1" s="85"/>
      <c r="L1" s="100" t="s">
        <v>552</v>
      </c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</row>
    <row r="2" spans="1:28" ht="11.25" customHeight="1" x14ac:dyDescent="0.3">
      <c r="A2" s="102"/>
      <c r="B2" s="102"/>
      <c r="C2" s="102"/>
      <c r="D2" s="102"/>
      <c r="E2" s="102"/>
      <c r="F2" s="102"/>
      <c r="G2" s="102"/>
      <c r="H2" s="102"/>
      <c r="I2" s="102"/>
      <c r="J2" s="85"/>
      <c r="L2" s="100" t="s">
        <v>451</v>
      </c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</row>
    <row r="3" spans="1:28" ht="11.25" customHeight="1" x14ac:dyDescent="0.3">
      <c r="A3" s="102"/>
      <c r="B3" s="102"/>
      <c r="C3" s="102"/>
      <c r="D3" s="102"/>
      <c r="E3" s="102"/>
      <c r="F3" s="102"/>
      <c r="G3" s="102"/>
      <c r="H3" s="102"/>
      <c r="I3" s="102"/>
      <c r="J3" s="85"/>
      <c r="L3" s="100" t="s">
        <v>424</v>
      </c>
      <c r="M3" s="100"/>
      <c r="N3" s="100"/>
      <c r="O3" s="100"/>
      <c r="P3" s="100"/>
      <c r="Q3" s="100"/>
      <c r="R3" s="100" t="s">
        <v>455</v>
      </c>
      <c r="S3" s="100"/>
      <c r="T3" s="100" t="s">
        <v>433</v>
      </c>
      <c r="U3" s="100"/>
      <c r="V3" s="100"/>
      <c r="W3" s="100"/>
      <c r="X3" s="100" t="s">
        <v>443</v>
      </c>
      <c r="Y3" s="100"/>
      <c r="Z3" s="100" t="s">
        <v>446</v>
      </c>
      <c r="AA3" s="100"/>
      <c r="AB3" s="100" t="s">
        <v>432</v>
      </c>
    </row>
    <row r="4" spans="1:28" ht="11.25" customHeight="1" x14ac:dyDescent="0.3">
      <c r="A4" s="102"/>
      <c r="B4" s="102"/>
      <c r="C4" s="102"/>
      <c r="D4" s="102"/>
      <c r="E4" s="102"/>
      <c r="F4" s="102"/>
      <c r="G4" s="102"/>
      <c r="H4" s="102"/>
      <c r="I4" s="102"/>
      <c r="J4" s="85"/>
      <c r="L4" s="30" t="s">
        <v>426</v>
      </c>
      <c r="M4" s="30" t="s">
        <v>452</v>
      </c>
      <c r="N4" s="30" t="s">
        <v>453</v>
      </c>
      <c r="O4" s="30" t="s">
        <v>512</v>
      </c>
      <c r="P4" s="30" t="s">
        <v>454</v>
      </c>
      <c r="Q4" s="30" t="s">
        <v>432</v>
      </c>
      <c r="R4" s="30" t="s">
        <v>456</v>
      </c>
      <c r="S4" s="30" t="s">
        <v>432</v>
      </c>
      <c r="T4" s="30" t="s">
        <v>457</v>
      </c>
      <c r="U4" s="30" t="s">
        <v>458</v>
      </c>
      <c r="V4" s="30" t="s">
        <v>459</v>
      </c>
      <c r="W4" s="30" t="s">
        <v>432</v>
      </c>
      <c r="X4" s="30" t="s">
        <v>444</v>
      </c>
      <c r="Y4" s="30" t="s">
        <v>432</v>
      </c>
      <c r="Z4" s="30" t="s">
        <v>460</v>
      </c>
      <c r="AA4" s="30" t="s">
        <v>432</v>
      </c>
      <c r="AB4" s="101"/>
    </row>
    <row r="5" spans="1:28" ht="11.25" customHeight="1" x14ac:dyDescent="0.3">
      <c r="A5" s="103" t="s">
        <v>35</v>
      </c>
      <c r="B5" s="103" t="s">
        <v>71</v>
      </c>
      <c r="C5" s="103" t="s">
        <v>25</v>
      </c>
      <c r="D5" s="103" t="s">
        <v>25</v>
      </c>
      <c r="E5" s="103" t="s">
        <v>25</v>
      </c>
      <c r="F5" s="103" t="s">
        <v>25</v>
      </c>
      <c r="G5" s="29" t="s">
        <v>73</v>
      </c>
      <c r="H5" s="29" t="s">
        <v>72</v>
      </c>
      <c r="I5" s="29">
        <f>'MERCADO TE'!$U$2</f>
        <v>1557.202</v>
      </c>
      <c r="J5" s="15"/>
      <c r="L5" s="26">
        <f>'TE BE'!$L$5*'TE BF'!$L$48</f>
        <v>0</v>
      </c>
      <c r="M5" s="26">
        <f>'TE BE'!$M$5*'TE BF'!$M$48</f>
        <v>0</v>
      </c>
      <c r="N5" s="26">
        <f>'TE BE'!$N$5*'TE BF'!$N$48</f>
        <v>0</v>
      </c>
      <c r="O5" s="26">
        <f>'TE BE'!$O$5*'TE BF'!$O$48</f>
        <v>0</v>
      </c>
      <c r="P5" s="26">
        <f>'TE BE'!$P$5*'TE BF'!$P$48</f>
        <v>0</v>
      </c>
      <c r="Q5" s="26">
        <f>SUM($L$5:$P$5)</f>
        <v>0</v>
      </c>
      <c r="R5" s="26">
        <f>'TE BE'!$R$5*'TE BF'!$R$48</f>
        <v>0</v>
      </c>
      <c r="S5" s="26">
        <f>SUM($R$5:$R$5)</f>
        <v>0</v>
      </c>
      <c r="T5" s="26">
        <f>'TE BE'!$T$5*'TE BF'!$T$48</f>
        <v>0</v>
      </c>
      <c r="U5" s="26">
        <f>'TE BE'!$U$5*'TE BF'!$U$48</f>
        <v>0</v>
      </c>
      <c r="V5" s="26">
        <f>'TE BE'!$V$5*'TE BF'!$V$48</f>
        <v>0</v>
      </c>
      <c r="W5" s="26">
        <f>SUM($T$5:$V$5)</f>
        <v>0</v>
      </c>
      <c r="X5" s="26">
        <f>'TE BE'!$AB$5*'TE BF'!$X$48</f>
        <v>0</v>
      </c>
      <c r="Y5" s="26">
        <f>SUM($X$5:$X$5)</f>
        <v>0</v>
      </c>
      <c r="Z5" s="26">
        <f>'TE BE'!$Z$5*'TE BF'!$Z$48</f>
        <v>0</v>
      </c>
      <c r="AA5" s="26">
        <f>SUM($Z$5:$Z$5)</f>
        <v>0</v>
      </c>
      <c r="AB5" s="26">
        <f>SUMIF($L$4:$AA$4,"SUBTOTAL",$L$5:$AA$5)</f>
        <v>0</v>
      </c>
    </row>
    <row r="6" spans="1:28" ht="11.25" customHeight="1" x14ac:dyDescent="0.3">
      <c r="A6" s="103"/>
      <c r="B6" s="103"/>
      <c r="C6" s="103"/>
      <c r="D6" s="103"/>
      <c r="E6" s="103"/>
      <c r="F6" s="103"/>
      <c r="G6" s="29" t="s">
        <v>74</v>
      </c>
      <c r="H6" s="29" t="s">
        <v>72</v>
      </c>
      <c r="I6" s="29">
        <f>'MERCADO TE'!$U$3</f>
        <v>23427.474000000002</v>
      </c>
      <c r="J6" s="15"/>
      <c r="L6" s="26">
        <f>'TE BE'!$L$6*'TE BF'!$L$48</f>
        <v>0</v>
      </c>
      <c r="M6" s="26">
        <f>'TE BE'!$M$6*'TE BF'!$M$48</f>
        <v>0</v>
      </c>
      <c r="N6" s="26">
        <f>'TE BE'!$N$6*'TE BF'!$N$48</f>
        <v>0</v>
      </c>
      <c r="O6" s="26">
        <f>'TE BE'!$O$6*'TE BF'!$O$48</f>
        <v>0</v>
      </c>
      <c r="P6" s="26">
        <f>'TE BE'!$P$6*'TE BF'!$P$48</f>
        <v>0</v>
      </c>
      <c r="Q6" s="26">
        <f>SUM($L$6:$P$6)</f>
        <v>0</v>
      </c>
      <c r="R6" s="26">
        <f>'TE BE'!$R$6*'TE BF'!$R$48</f>
        <v>0</v>
      </c>
      <c r="S6" s="26">
        <f>SUM($R$6:$R$6)</f>
        <v>0</v>
      </c>
      <c r="T6" s="26">
        <f>'TE BE'!$T$6*'TE BF'!$T$48</f>
        <v>0</v>
      </c>
      <c r="U6" s="26">
        <f>'TE BE'!$U$6*'TE BF'!$U$48</f>
        <v>0</v>
      </c>
      <c r="V6" s="26">
        <f>'TE BE'!$V$6*'TE BF'!$V$48</f>
        <v>0</v>
      </c>
      <c r="W6" s="26">
        <f>SUM($T$6:$V$6)</f>
        <v>0</v>
      </c>
      <c r="X6" s="26">
        <f>'TE BE'!$AB$6*'TE BF'!$X$48</f>
        <v>0</v>
      </c>
      <c r="Y6" s="26">
        <f>SUM($X$6:$X$6)</f>
        <v>0</v>
      </c>
      <c r="Z6" s="26">
        <f>'TE BE'!$Z$6*'TE BF'!$Z$48</f>
        <v>0</v>
      </c>
      <c r="AA6" s="26">
        <f>SUM($Z$6:$Z$6)</f>
        <v>0</v>
      </c>
      <c r="AB6" s="26">
        <f>SUMIF($L$4:$AA$4,"SUBTOTAL",$L$6:$AA$6)</f>
        <v>0</v>
      </c>
    </row>
    <row r="7" spans="1:28" ht="11.25" customHeight="1" x14ac:dyDescent="0.3">
      <c r="A7" s="103" t="s">
        <v>22</v>
      </c>
      <c r="B7" s="103" t="s">
        <v>71</v>
      </c>
      <c r="C7" s="103" t="s">
        <v>24</v>
      </c>
      <c r="D7" s="103" t="s">
        <v>24</v>
      </c>
      <c r="E7" s="103" t="s">
        <v>25</v>
      </c>
      <c r="F7" s="103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'TE BE'!$L$7*'TE BF'!$L$48</f>
        <v>0</v>
      </c>
      <c r="M7" s="26">
        <f>'TE BE'!$M$7*'TE BF'!$M$48</f>
        <v>0</v>
      </c>
      <c r="N7" s="26">
        <f>'TE BE'!$N$7*'TE BF'!$N$48</f>
        <v>0</v>
      </c>
      <c r="O7" s="26">
        <f>'TE BE'!$O$7*'TE BF'!$O$48</f>
        <v>0</v>
      </c>
      <c r="P7" s="26">
        <f>'TE BE'!$P$7*'TE BF'!$P$48</f>
        <v>0</v>
      </c>
      <c r="Q7" s="26">
        <f>SUM($L$7:$P$7)</f>
        <v>0</v>
      </c>
      <c r="R7" s="26">
        <f>'TE BE'!$R$7*'TE BF'!$R$48</f>
        <v>0</v>
      </c>
      <c r="S7" s="26">
        <f>SUM($R$7:$R$7)</f>
        <v>0</v>
      </c>
      <c r="T7" s="26">
        <f>'TE BE'!$T$7*'TE BF'!$T$48</f>
        <v>0</v>
      </c>
      <c r="U7" s="26">
        <f>'TE BE'!$U$7*'TE BF'!$U$48</f>
        <v>0</v>
      </c>
      <c r="V7" s="26">
        <f>'TE BE'!$V$7*'TE BF'!$V$48</f>
        <v>0</v>
      </c>
      <c r="W7" s="26">
        <f>SUM($T$7:$V$7)</f>
        <v>0</v>
      </c>
      <c r="X7" s="26">
        <f>'TE BE'!$AB$7*'TE BF'!$X$48</f>
        <v>0</v>
      </c>
      <c r="Y7" s="26">
        <f>SUM($X$7:$X$7)</f>
        <v>0</v>
      </c>
      <c r="Z7" s="26">
        <f>'TE BE'!$Z$7*'TE BF'!$Z$48</f>
        <v>0</v>
      </c>
      <c r="AA7" s="26">
        <f>SUM($Z$7:$Z$7)</f>
        <v>0</v>
      </c>
      <c r="AB7" s="26">
        <f>SUMIF($L$4:$AA$4,"SUBTOTAL",$L$7:$AA$7)</f>
        <v>0</v>
      </c>
    </row>
    <row r="8" spans="1:28" ht="11.25" customHeight="1" x14ac:dyDescent="0.3">
      <c r="A8" s="103"/>
      <c r="B8" s="103"/>
      <c r="C8" s="103"/>
      <c r="D8" s="103"/>
      <c r="E8" s="103"/>
      <c r="F8" s="103"/>
      <c r="G8" s="29" t="s">
        <v>85</v>
      </c>
      <c r="H8" s="29" t="s">
        <v>72</v>
      </c>
      <c r="I8" s="29">
        <f>'MERCADO TE'!$U$5</f>
        <v>0</v>
      </c>
      <c r="J8" s="15"/>
      <c r="L8" s="26">
        <f>'TE BE'!$L$8*'TE BF'!$L$48</f>
        <v>0</v>
      </c>
      <c r="M8" s="26">
        <f>'TE BE'!$M$8*'TE BF'!$M$48</f>
        <v>0</v>
      </c>
      <c r="N8" s="26">
        <f>'TE BE'!$N$8*'TE BF'!$N$48</f>
        <v>0</v>
      </c>
      <c r="O8" s="26">
        <f>'TE BE'!$O$8*'TE BF'!$O$48</f>
        <v>0</v>
      </c>
      <c r="P8" s="26">
        <f>'TE BE'!$P$8*'TE BF'!$P$48</f>
        <v>0</v>
      </c>
      <c r="Q8" s="26">
        <f>SUM($L$8:$P$8)</f>
        <v>0</v>
      </c>
      <c r="R8" s="26">
        <f>'TE BE'!$R$8*'TE BF'!$R$48</f>
        <v>0</v>
      </c>
      <c r="S8" s="26">
        <f>SUM($R$8:$R$8)</f>
        <v>0</v>
      </c>
      <c r="T8" s="26">
        <f>'TE BE'!$T$8*'TE BF'!$T$48</f>
        <v>0</v>
      </c>
      <c r="U8" s="26">
        <f>'TE BE'!$U$8*'TE BF'!$U$48</f>
        <v>0</v>
      </c>
      <c r="V8" s="26">
        <f>'TE BE'!$V$8*'TE BF'!$V$48</f>
        <v>0</v>
      </c>
      <c r="W8" s="26">
        <f>SUM($T$8:$V$8)</f>
        <v>0</v>
      </c>
      <c r="X8" s="26">
        <f>'TE BE'!$AB$8*'TE BF'!$X$48</f>
        <v>0</v>
      </c>
      <c r="Y8" s="26">
        <f>SUM($X$8:$X$8)</f>
        <v>0</v>
      </c>
      <c r="Z8" s="26">
        <f>'TE BE'!$Z$8*'TE BF'!$Z$48</f>
        <v>0</v>
      </c>
      <c r="AA8" s="26">
        <f>SUM($Z$8:$Z$8)</f>
        <v>0</v>
      </c>
      <c r="AB8" s="26">
        <f>SUMIF($L$4:$AA$4,"SUBTOTAL",$L$8:$AA$8)</f>
        <v>0</v>
      </c>
    </row>
    <row r="9" spans="1:28" ht="11.25" customHeight="1" x14ac:dyDescent="0.3">
      <c r="A9" s="103"/>
      <c r="B9" s="103"/>
      <c r="C9" s="103"/>
      <c r="D9" s="103"/>
      <c r="E9" s="103"/>
      <c r="F9" s="103"/>
      <c r="G9" s="29" t="s">
        <v>74</v>
      </c>
      <c r="H9" s="29" t="s">
        <v>72</v>
      </c>
      <c r="I9" s="29">
        <f>'MERCADO TE'!$U$6</f>
        <v>0</v>
      </c>
      <c r="J9" s="15"/>
      <c r="L9" s="26">
        <f>'TE BE'!$L$9*'TE BF'!$L$48</f>
        <v>0</v>
      </c>
      <c r="M9" s="26">
        <f>'TE BE'!$M$9*'TE BF'!$M$48</f>
        <v>0</v>
      </c>
      <c r="N9" s="26">
        <f>'TE BE'!$N$9*'TE BF'!$N$48</f>
        <v>0</v>
      </c>
      <c r="O9" s="26">
        <f>'TE BE'!$O$9*'TE BF'!$O$48</f>
        <v>0</v>
      </c>
      <c r="P9" s="26">
        <f>'TE BE'!$P$9*'TE BF'!$P$48</f>
        <v>0</v>
      </c>
      <c r="Q9" s="26">
        <f>SUM($L$9:$P$9)</f>
        <v>0</v>
      </c>
      <c r="R9" s="26">
        <f>'TE BE'!$R$9*'TE BF'!$R$48</f>
        <v>0</v>
      </c>
      <c r="S9" s="26">
        <f>SUM($R$9:$R$9)</f>
        <v>0</v>
      </c>
      <c r="T9" s="26">
        <f>'TE BE'!$T$9*'TE BF'!$T$48</f>
        <v>0</v>
      </c>
      <c r="U9" s="26">
        <f>'TE BE'!$U$9*'TE BF'!$U$48</f>
        <v>0</v>
      </c>
      <c r="V9" s="26">
        <f>'TE BE'!$V$9*'TE BF'!$V$48</f>
        <v>0</v>
      </c>
      <c r="W9" s="26">
        <f>SUM($T$9:$V$9)</f>
        <v>0</v>
      </c>
      <c r="X9" s="26">
        <f>'TE BE'!$AB$9*'TE BF'!$X$48</f>
        <v>0</v>
      </c>
      <c r="Y9" s="26">
        <f>SUM($X$9:$X$9)</f>
        <v>0</v>
      </c>
      <c r="Z9" s="26">
        <f>'TE BE'!$Z$9*'TE BF'!$Z$48</f>
        <v>0</v>
      </c>
      <c r="AA9" s="26">
        <f>SUM($Z$9:$Z$9)</f>
        <v>0</v>
      </c>
      <c r="AB9" s="26">
        <f>SUMIF($L$4:$AA$4,"SUBTOTAL",$L$9:$AA$9)</f>
        <v>0</v>
      </c>
    </row>
    <row r="10" spans="1:28" ht="11.25" customHeight="1" x14ac:dyDescent="0.3">
      <c r="A10" s="103"/>
      <c r="B10" s="103" t="s">
        <v>86</v>
      </c>
      <c r="C10" s="103" t="s">
        <v>24</v>
      </c>
      <c r="D10" s="28" t="s">
        <v>24</v>
      </c>
      <c r="E10" s="28" t="s">
        <v>25</v>
      </c>
      <c r="F10" s="28" t="s">
        <v>25</v>
      </c>
      <c r="G10" s="29" t="s">
        <v>79</v>
      </c>
      <c r="H10" s="29" t="s">
        <v>72</v>
      </c>
      <c r="I10" s="29">
        <f>'MERCADO TE'!$U$7</f>
        <v>5913.8329999999996</v>
      </c>
      <c r="J10" s="15"/>
      <c r="L10" s="26">
        <f>'TE BE'!$L$10*'TE BF'!$L$48</f>
        <v>0</v>
      </c>
      <c r="M10" s="26">
        <f>'TE BE'!$M$10*'TE BF'!$M$48</f>
        <v>0</v>
      </c>
      <c r="N10" s="26">
        <f>'TE BE'!$N$10*'TE BF'!$N$48</f>
        <v>0</v>
      </c>
      <c r="O10" s="26">
        <f>'TE BE'!$O$10*'TE BF'!$O$48</f>
        <v>0</v>
      </c>
      <c r="P10" s="26">
        <f>'TE BE'!$P$10*'TE BF'!$P$48</f>
        <v>0</v>
      </c>
      <c r="Q10" s="26">
        <f>SUM($L$10:$P$10)</f>
        <v>0</v>
      </c>
      <c r="R10" s="26">
        <f>'TE BE'!$R$10*'TE BF'!$R$48</f>
        <v>0</v>
      </c>
      <c r="S10" s="26">
        <f>SUM($R$10:$R$10)</f>
        <v>0</v>
      </c>
      <c r="T10" s="26">
        <f>'TE BE'!$T$10*'TE BF'!$T$48</f>
        <v>0</v>
      </c>
      <c r="U10" s="26">
        <f>'TE BE'!$U$10*'TE BF'!$U$48</f>
        <v>0</v>
      </c>
      <c r="V10" s="26">
        <f>'TE BE'!$V$10*'TE BF'!$V$48</f>
        <v>0</v>
      </c>
      <c r="W10" s="26">
        <f>SUM($T$10:$V$10)</f>
        <v>0</v>
      </c>
      <c r="X10" s="26">
        <f>'TE BE'!$AB$10*'TE BF'!$X$48</f>
        <v>0</v>
      </c>
      <c r="Y10" s="26">
        <f>SUM($X$10:$X$10)</f>
        <v>0</v>
      </c>
      <c r="Z10" s="26">
        <f>'TE BE'!$Z$10*'TE BF'!$Z$48</f>
        <v>0</v>
      </c>
      <c r="AA10" s="26">
        <f>SUM($Z$10:$Z$10)</f>
        <v>0</v>
      </c>
      <c r="AB10" s="26">
        <f>SUMIF($L$4:$AA$4,"SUBTOTAL",$L$10:$AA$10)</f>
        <v>0</v>
      </c>
    </row>
    <row r="11" spans="1:28" ht="11.25" customHeight="1" x14ac:dyDescent="0.3">
      <c r="A11" s="103"/>
      <c r="B11" s="103"/>
      <c r="C11" s="103"/>
      <c r="D11" s="28" t="s">
        <v>29</v>
      </c>
      <c r="E11" s="28" t="s">
        <v>25</v>
      </c>
      <c r="F11" s="28" t="s">
        <v>25</v>
      </c>
      <c r="G11" s="29" t="s">
        <v>79</v>
      </c>
      <c r="H11" s="29" t="s">
        <v>72</v>
      </c>
      <c r="I11" s="29">
        <f>'MERCADO TE'!$U$8</f>
        <v>78.629000000000005</v>
      </c>
      <c r="J11" s="15"/>
      <c r="L11" s="26">
        <f>'TE BE'!$L$11*'TE BF'!$L$48</f>
        <v>0</v>
      </c>
      <c r="M11" s="26">
        <f>'TE BE'!$M$11*'TE BF'!$M$48</f>
        <v>0</v>
      </c>
      <c r="N11" s="26">
        <f>'TE BE'!$N$11*'TE BF'!$N$48</f>
        <v>0</v>
      </c>
      <c r="O11" s="26">
        <f>'TE BE'!$O$11*'TE BF'!$O$48</f>
        <v>0</v>
      </c>
      <c r="P11" s="26">
        <f>'TE BE'!$P$11*'TE BF'!$P$48</f>
        <v>0</v>
      </c>
      <c r="Q11" s="26">
        <f>SUM($L$11:$P$11)</f>
        <v>0</v>
      </c>
      <c r="R11" s="26">
        <f>'TE BE'!$R$11*'TE BF'!$R$48</f>
        <v>0</v>
      </c>
      <c r="S11" s="26">
        <f>SUM($R$11:$R$11)</f>
        <v>0</v>
      </c>
      <c r="T11" s="26">
        <f>'TE BE'!$T$11*'TE BF'!$T$48</f>
        <v>0</v>
      </c>
      <c r="U11" s="26">
        <f>'TE BE'!$U$11*'TE BF'!$U$48</f>
        <v>0</v>
      </c>
      <c r="V11" s="26">
        <f>'TE BE'!$V$11*'TE BF'!$V$48</f>
        <v>0</v>
      </c>
      <c r="W11" s="26">
        <f>SUM($T$11:$V$11)</f>
        <v>0</v>
      </c>
      <c r="X11" s="26">
        <f>'TE BE'!$AB$11*'TE BF'!$X$48</f>
        <v>0</v>
      </c>
      <c r="Y11" s="26">
        <f>SUM($X$11:$X$11)</f>
        <v>0</v>
      </c>
      <c r="Z11" s="26">
        <f>'TE BE'!$Z$11*'TE BF'!$Z$48</f>
        <v>0</v>
      </c>
      <c r="AA11" s="26">
        <f>SUM($Z$11:$Z$11)</f>
        <v>0</v>
      </c>
      <c r="AB11" s="26">
        <f>SUMIF($L$4:$AA$4,"SUBTOTAL",$L$11:$AA$11)</f>
        <v>0</v>
      </c>
    </row>
    <row r="12" spans="1:28" ht="11.25" customHeight="1" x14ac:dyDescent="0.3">
      <c r="A12" s="103"/>
      <c r="B12" s="103"/>
      <c r="C12" s="103"/>
      <c r="D12" s="28" t="s">
        <v>30</v>
      </c>
      <c r="E12" s="28" t="s">
        <v>25</v>
      </c>
      <c r="F12" s="28" t="s">
        <v>25</v>
      </c>
      <c r="G12" s="29" t="s">
        <v>79</v>
      </c>
      <c r="H12" s="29" t="s">
        <v>72</v>
      </c>
      <c r="I12" s="29">
        <f>'MERCADO TE'!$U$9</f>
        <v>159.86900000000003</v>
      </c>
      <c r="J12" s="15"/>
      <c r="L12" s="26">
        <f>'TE BE'!$L$12*'TE BF'!$L$48</f>
        <v>0</v>
      </c>
      <c r="M12" s="26">
        <f>'TE BE'!$M$12*'TE BF'!$M$48</f>
        <v>0</v>
      </c>
      <c r="N12" s="26">
        <f>'TE BE'!$N$12*'TE BF'!$N$48</f>
        <v>0</v>
      </c>
      <c r="O12" s="26">
        <f>'TE BE'!$O$12*'TE BF'!$O$48</f>
        <v>0</v>
      </c>
      <c r="P12" s="26">
        <f>'TE BE'!$P$12*'TE BF'!$P$48</f>
        <v>0</v>
      </c>
      <c r="Q12" s="26">
        <f>SUM($L$12:$P$12)</f>
        <v>0</v>
      </c>
      <c r="R12" s="26">
        <f>'TE BE'!$R$12*'TE BF'!$R$48</f>
        <v>0</v>
      </c>
      <c r="S12" s="26">
        <f>SUM($R$12:$R$12)</f>
        <v>0</v>
      </c>
      <c r="T12" s="26">
        <f>'TE BE'!$T$12*'TE BF'!$T$48</f>
        <v>0</v>
      </c>
      <c r="U12" s="26">
        <f>'TE BE'!$U$12*'TE BF'!$U$48</f>
        <v>0</v>
      </c>
      <c r="V12" s="26">
        <f>'TE BE'!$V$12*'TE BF'!$V$48</f>
        <v>0</v>
      </c>
      <c r="W12" s="26">
        <f>SUM($T$12:$V$12)</f>
        <v>0</v>
      </c>
      <c r="X12" s="26">
        <f>'TE BE'!$AB$12*'TE BF'!$X$48</f>
        <v>0</v>
      </c>
      <c r="Y12" s="26">
        <f>SUM($X$12:$X$12)</f>
        <v>0</v>
      </c>
      <c r="Z12" s="26">
        <f>'TE BE'!$Z$12*'TE BF'!$Z$48</f>
        <v>0</v>
      </c>
      <c r="AA12" s="26">
        <f>SUM($Z$12:$Z$12)</f>
        <v>0</v>
      </c>
      <c r="AB12" s="26">
        <f>SUMIF($L$4:$AA$4,"SUBTOTAL",$L$12:$AA$12)</f>
        <v>0</v>
      </c>
    </row>
    <row r="13" spans="1:28" ht="11.25" customHeight="1" x14ac:dyDescent="0.3">
      <c r="A13" s="103"/>
      <c r="B13" s="103"/>
      <c r="C13" s="103"/>
      <c r="D13" s="28" t="s">
        <v>31</v>
      </c>
      <c r="E13" s="28" t="s">
        <v>25</v>
      </c>
      <c r="F13" s="28" t="s">
        <v>25</v>
      </c>
      <c r="G13" s="29" t="s">
        <v>79</v>
      </c>
      <c r="H13" s="29" t="s">
        <v>72</v>
      </c>
      <c r="I13" s="29">
        <f>'MERCADO TE'!$U$10</f>
        <v>149.93899999999999</v>
      </c>
      <c r="J13" s="15"/>
      <c r="L13" s="26">
        <f>'TE BE'!$L$13*'TE BF'!$L$48</f>
        <v>0</v>
      </c>
      <c r="M13" s="26">
        <f>'TE BE'!$M$13*'TE BF'!$M$48</f>
        <v>0</v>
      </c>
      <c r="N13" s="26">
        <f>'TE BE'!$N$13*'TE BF'!$N$48</f>
        <v>0</v>
      </c>
      <c r="O13" s="26">
        <f>'TE BE'!$O$13*'TE BF'!$O$48</f>
        <v>0</v>
      </c>
      <c r="P13" s="26">
        <f>'TE BE'!$P$13*'TE BF'!$P$48</f>
        <v>0</v>
      </c>
      <c r="Q13" s="26">
        <f>SUM($L$13:$P$13)</f>
        <v>0</v>
      </c>
      <c r="R13" s="26">
        <f>'TE BE'!$R$13*'TE BF'!$R$48</f>
        <v>0</v>
      </c>
      <c r="S13" s="26">
        <f>SUM($R$13:$R$13)</f>
        <v>0</v>
      </c>
      <c r="T13" s="26">
        <f>'TE BE'!$T$13*'TE BF'!$T$48</f>
        <v>0</v>
      </c>
      <c r="U13" s="26">
        <f>'TE BE'!$U$13*'TE BF'!$U$48</f>
        <v>0</v>
      </c>
      <c r="V13" s="26">
        <f>'TE BE'!$V$13*'TE BF'!$V$48</f>
        <v>0</v>
      </c>
      <c r="W13" s="26">
        <f>SUM($T$13:$V$13)</f>
        <v>0</v>
      </c>
      <c r="X13" s="26">
        <f>'TE BE'!$AB$13*'TE BF'!$X$48</f>
        <v>0</v>
      </c>
      <c r="Y13" s="26">
        <f>SUM($X$13:$X$13)</f>
        <v>0</v>
      </c>
      <c r="Z13" s="26">
        <f>'TE BE'!$Z$13*'TE BF'!$Z$48</f>
        <v>0</v>
      </c>
      <c r="AA13" s="26">
        <f>SUM($Z$13:$Z$13)</f>
        <v>0</v>
      </c>
      <c r="AB13" s="26">
        <f>SUMIF($L$4:$AA$4,"SUBTOTAL",$L$13:$AA$13)</f>
        <v>0</v>
      </c>
    </row>
    <row r="14" spans="1:28" ht="11.25" customHeight="1" x14ac:dyDescent="0.3">
      <c r="A14" s="103"/>
      <c r="B14" s="103"/>
      <c r="C14" s="103"/>
      <c r="D14" s="28" t="s">
        <v>32</v>
      </c>
      <c r="E14" s="28" t="s">
        <v>25</v>
      </c>
      <c r="F14" s="28" t="s">
        <v>25</v>
      </c>
      <c r="G14" s="29" t="s">
        <v>79</v>
      </c>
      <c r="H14" s="29" t="s">
        <v>72</v>
      </c>
      <c r="I14" s="29">
        <f>'MERCADO TE'!$U$11</f>
        <v>50.329000000000001</v>
      </c>
      <c r="J14" s="15"/>
      <c r="L14" s="26">
        <f>'TE BE'!$L$14*'TE BF'!$L$48</f>
        <v>0</v>
      </c>
      <c r="M14" s="26">
        <f>'TE BE'!$M$14*'TE BF'!$M$48</f>
        <v>0</v>
      </c>
      <c r="N14" s="26">
        <f>'TE BE'!$N$14*'TE BF'!$N$48</f>
        <v>0</v>
      </c>
      <c r="O14" s="26">
        <f>'TE BE'!$O$14*'TE BF'!$O$48</f>
        <v>0</v>
      </c>
      <c r="P14" s="26">
        <f>'TE BE'!$P$14*'TE BF'!$P$48</f>
        <v>0</v>
      </c>
      <c r="Q14" s="26">
        <f>SUM($L$14:$P$14)</f>
        <v>0</v>
      </c>
      <c r="R14" s="26">
        <f>'TE BE'!$R$14*'TE BF'!$R$48</f>
        <v>0</v>
      </c>
      <c r="S14" s="26">
        <f>SUM($R$14:$R$14)</f>
        <v>0</v>
      </c>
      <c r="T14" s="26">
        <f>'TE BE'!$T$14*'TE BF'!$T$48</f>
        <v>0</v>
      </c>
      <c r="U14" s="26">
        <f>'TE BE'!$U$14*'TE BF'!$U$48</f>
        <v>0</v>
      </c>
      <c r="V14" s="26">
        <f>'TE BE'!$V$14*'TE BF'!$V$48</f>
        <v>0</v>
      </c>
      <c r="W14" s="26">
        <f>SUM($T$14:$V$14)</f>
        <v>0</v>
      </c>
      <c r="X14" s="26">
        <f>'TE BE'!$AB$14*'TE BF'!$X$48</f>
        <v>0</v>
      </c>
      <c r="Y14" s="26">
        <f>SUM($X$14:$X$14)</f>
        <v>0</v>
      </c>
      <c r="Z14" s="26">
        <f>'TE BE'!$Z$14*'TE BF'!$Z$48</f>
        <v>0</v>
      </c>
      <c r="AA14" s="26">
        <f>SUM($Z$14:$Z$14)</f>
        <v>0</v>
      </c>
      <c r="AB14" s="26">
        <f>SUMIF($L$4:$AA$4,"SUBTOTAL",$L$14:$AA$14)</f>
        <v>0</v>
      </c>
    </row>
    <row r="15" spans="1:28" ht="11.25" customHeight="1" x14ac:dyDescent="0.3">
      <c r="A15" s="103"/>
      <c r="B15" s="103" t="s">
        <v>87</v>
      </c>
      <c r="C15" s="103" t="s">
        <v>24</v>
      </c>
      <c r="D15" s="28" t="s">
        <v>24</v>
      </c>
      <c r="E15" s="28" t="s">
        <v>25</v>
      </c>
      <c r="F15" s="28" t="s">
        <v>25</v>
      </c>
      <c r="G15" s="29" t="s">
        <v>79</v>
      </c>
      <c r="H15" s="29" t="s">
        <v>72</v>
      </c>
      <c r="I15" s="29">
        <f>'MERCADO TE'!$U$12</f>
        <v>0</v>
      </c>
      <c r="J15" s="15"/>
      <c r="L15" s="26">
        <f>'TE BE'!$L$15*'TE BF'!$L$48</f>
        <v>0</v>
      </c>
      <c r="M15" s="26">
        <f>'TE BE'!$M$15*'TE BF'!$M$48</f>
        <v>0</v>
      </c>
      <c r="N15" s="26">
        <f>'TE BE'!$N$15*'TE BF'!$N$48</f>
        <v>0</v>
      </c>
      <c r="O15" s="26">
        <f>'TE BE'!$O$15*'TE BF'!$O$48</f>
        <v>0</v>
      </c>
      <c r="P15" s="26">
        <f>'TE BE'!$P$15*'TE BF'!$P$48</f>
        <v>0</v>
      </c>
      <c r="Q15" s="26">
        <f>SUM($L$15:$P$15)</f>
        <v>0</v>
      </c>
      <c r="R15" s="26">
        <f>'TE BE'!$R$15*'TE BF'!$R$48</f>
        <v>0</v>
      </c>
      <c r="S15" s="26">
        <f>SUM($R$15:$R$15)</f>
        <v>0</v>
      </c>
      <c r="T15" s="26">
        <f>'TE BE'!$T$15*'TE BF'!$T$48</f>
        <v>0</v>
      </c>
      <c r="U15" s="26">
        <f>'TE BE'!$U$15*'TE BF'!$U$48</f>
        <v>0</v>
      </c>
      <c r="V15" s="26">
        <f>'TE BE'!$V$15*'TE BF'!$V$48</f>
        <v>0</v>
      </c>
      <c r="W15" s="26">
        <f>SUM($T$15:$V$15)</f>
        <v>0</v>
      </c>
      <c r="X15" s="26">
        <f>'TE BE'!$AB$15*'TE BF'!$X$48</f>
        <v>0</v>
      </c>
      <c r="Y15" s="26">
        <f>SUM($X$15:$X$15)</f>
        <v>0</v>
      </c>
      <c r="Z15" s="26">
        <f>'TE BE'!$Z$15*'TE BF'!$Z$48</f>
        <v>0</v>
      </c>
      <c r="AA15" s="26">
        <f>SUM($Z$15:$Z$15)</f>
        <v>0</v>
      </c>
      <c r="AB15" s="26">
        <f>SUMIF($L$4:$AA$4,"SUBTOTAL",$L$15:$AA$15)</f>
        <v>0</v>
      </c>
    </row>
    <row r="16" spans="1:28" ht="11.25" customHeight="1" x14ac:dyDescent="0.3">
      <c r="A16" s="103"/>
      <c r="B16" s="103"/>
      <c r="C16" s="103"/>
      <c r="D16" s="28" t="s">
        <v>29</v>
      </c>
      <c r="E16" s="28" t="s">
        <v>25</v>
      </c>
      <c r="F16" s="28" t="s">
        <v>25</v>
      </c>
      <c r="G16" s="29" t="s">
        <v>79</v>
      </c>
      <c r="H16" s="29" t="s">
        <v>72</v>
      </c>
      <c r="I16" s="29">
        <f>'MERCADO TE'!$U$13</f>
        <v>0</v>
      </c>
      <c r="J16" s="15"/>
      <c r="L16" s="26">
        <f>'TE BE'!$L$16*'TE BF'!$L$48</f>
        <v>0</v>
      </c>
      <c r="M16" s="26">
        <f>'TE BE'!$M$16*'TE BF'!$M$48</f>
        <v>0</v>
      </c>
      <c r="N16" s="26">
        <f>'TE BE'!$N$16*'TE BF'!$N$48</f>
        <v>0</v>
      </c>
      <c r="O16" s="26">
        <f>'TE BE'!$O$16*'TE BF'!$O$48</f>
        <v>0</v>
      </c>
      <c r="P16" s="26">
        <f>'TE BE'!$P$16*'TE BF'!$P$48</f>
        <v>0</v>
      </c>
      <c r="Q16" s="26">
        <f>SUM($L$16:$P$16)</f>
        <v>0</v>
      </c>
      <c r="R16" s="26">
        <f>'TE BE'!$R$16*'TE BF'!$R$48</f>
        <v>0</v>
      </c>
      <c r="S16" s="26">
        <f>SUM($R$16:$R$16)</f>
        <v>0</v>
      </c>
      <c r="T16" s="26">
        <f>'TE BE'!$T$16*'TE BF'!$T$48</f>
        <v>0</v>
      </c>
      <c r="U16" s="26">
        <f>'TE BE'!$U$16*'TE BF'!$U$48</f>
        <v>0</v>
      </c>
      <c r="V16" s="26">
        <f>'TE BE'!$V$16*'TE BF'!$V$48</f>
        <v>0</v>
      </c>
      <c r="W16" s="26">
        <f>SUM($T$16:$V$16)</f>
        <v>0</v>
      </c>
      <c r="X16" s="26">
        <f>'TE BE'!$AB$16*'TE BF'!$X$48</f>
        <v>0</v>
      </c>
      <c r="Y16" s="26">
        <f>SUM($X$16:$X$16)</f>
        <v>0</v>
      </c>
      <c r="Z16" s="26">
        <f>'TE BE'!$Z$16*'TE BF'!$Z$48</f>
        <v>0</v>
      </c>
      <c r="AA16" s="26">
        <f>SUM($Z$16:$Z$16)</f>
        <v>0</v>
      </c>
      <c r="AB16" s="26">
        <f>SUMIF($L$4:$AA$4,"SUBTOTAL",$L$16:$AA$16)</f>
        <v>0</v>
      </c>
    </row>
    <row r="17" spans="1:28" ht="11.25" customHeight="1" x14ac:dyDescent="0.3">
      <c r="A17" s="103"/>
      <c r="B17" s="103"/>
      <c r="C17" s="103"/>
      <c r="D17" s="28" t="s">
        <v>30</v>
      </c>
      <c r="E17" s="28" t="s">
        <v>25</v>
      </c>
      <c r="F17" s="28" t="s">
        <v>25</v>
      </c>
      <c r="G17" s="29" t="s">
        <v>79</v>
      </c>
      <c r="H17" s="29" t="s">
        <v>72</v>
      </c>
      <c r="I17" s="29">
        <f>'MERCADO TE'!$U$14</f>
        <v>0</v>
      </c>
      <c r="J17" s="15"/>
      <c r="L17" s="26">
        <f>'TE BE'!$L$17*'TE BF'!$L$48</f>
        <v>0</v>
      </c>
      <c r="M17" s="26">
        <f>'TE BE'!$M$17*'TE BF'!$M$48</f>
        <v>0</v>
      </c>
      <c r="N17" s="26">
        <f>'TE BE'!$N$17*'TE BF'!$N$48</f>
        <v>0</v>
      </c>
      <c r="O17" s="26">
        <f>'TE BE'!$O$17*'TE BF'!$O$48</f>
        <v>0</v>
      </c>
      <c r="P17" s="26">
        <f>'TE BE'!$P$17*'TE BF'!$P$48</f>
        <v>0</v>
      </c>
      <c r="Q17" s="26">
        <f>SUM($L$17:$P$17)</f>
        <v>0</v>
      </c>
      <c r="R17" s="26">
        <f>'TE BE'!$R$17*'TE BF'!$R$48</f>
        <v>0</v>
      </c>
      <c r="S17" s="26">
        <f>SUM($R$17:$R$17)</f>
        <v>0</v>
      </c>
      <c r="T17" s="26">
        <f>'TE BE'!$T$17*'TE BF'!$T$48</f>
        <v>0</v>
      </c>
      <c r="U17" s="26">
        <f>'TE BE'!$U$17*'TE BF'!$U$48</f>
        <v>0</v>
      </c>
      <c r="V17" s="26">
        <f>'TE BE'!$V$17*'TE BF'!$V$48</f>
        <v>0</v>
      </c>
      <c r="W17" s="26">
        <f>SUM($T$17:$V$17)</f>
        <v>0</v>
      </c>
      <c r="X17" s="26">
        <f>'TE BE'!$AB$17*'TE BF'!$X$48</f>
        <v>0</v>
      </c>
      <c r="Y17" s="26">
        <f>SUM($X$17:$X$17)</f>
        <v>0</v>
      </c>
      <c r="Z17" s="26">
        <f>'TE BE'!$Z$17*'TE BF'!$Z$48</f>
        <v>0</v>
      </c>
      <c r="AA17" s="26">
        <f>SUM($Z$17:$Z$17)</f>
        <v>0</v>
      </c>
      <c r="AB17" s="26">
        <f>SUMIF($L$4:$AA$4,"SUBTOTAL",$L$17:$AA$17)</f>
        <v>0</v>
      </c>
    </row>
    <row r="18" spans="1:28" ht="11.25" customHeight="1" x14ac:dyDescent="0.3">
      <c r="A18" s="103"/>
      <c r="B18" s="103"/>
      <c r="C18" s="103"/>
      <c r="D18" s="28" t="s">
        <v>31</v>
      </c>
      <c r="E18" s="28" t="s">
        <v>25</v>
      </c>
      <c r="F18" s="28" t="s">
        <v>25</v>
      </c>
      <c r="G18" s="29" t="s">
        <v>79</v>
      </c>
      <c r="H18" s="29" t="s">
        <v>72</v>
      </c>
      <c r="I18" s="29">
        <f>'MERCADO TE'!$U$15</f>
        <v>0</v>
      </c>
      <c r="J18" s="15"/>
      <c r="L18" s="26">
        <f>'TE BE'!$L$18*'TE BF'!$L$48</f>
        <v>0</v>
      </c>
      <c r="M18" s="26">
        <f>'TE BE'!$M$18*'TE BF'!$M$48</f>
        <v>0</v>
      </c>
      <c r="N18" s="26">
        <f>'TE BE'!$N$18*'TE BF'!$N$48</f>
        <v>0</v>
      </c>
      <c r="O18" s="26">
        <f>'TE BE'!$O$18*'TE BF'!$O$48</f>
        <v>0</v>
      </c>
      <c r="P18" s="26">
        <f>'TE BE'!$P$18*'TE BF'!$P$48</f>
        <v>0</v>
      </c>
      <c r="Q18" s="26">
        <f>SUM($L$18:$P$18)</f>
        <v>0</v>
      </c>
      <c r="R18" s="26">
        <f>'TE BE'!$R$18*'TE BF'!$R$48</f>
        <v>0</v>
      </c>
      <c r="S18" s="26">
        <f>SUM($R$18:$R$18)</f>
        <v>0</v>
      </c>
      <c r="T18" s="26">
        <f>'TE BE'!$T$18*'TE BF'!$T$48</f>
        <v>0</v>
      </c>
      <c r="U18" s="26">
        <f>'TE BE'!$U$18*'TE BF'!$U$48</f>
        <v>0</v>
      </c>
      <c r="V18" s="26">
        <f>'TE BE'!$V$18*'TE BF'!$V$48</f>
        <v>0</v>
      </c>
      <c r="W18" s="26">
        <f>SUM($T$18:$V$18)</f>
        <v>0</v>
      </c>
      <c r="X18" s="26">
        <f>'TE BE'!$AB$18*'TE BF'!$X$48</f>
        <v>0</v>
      </c>
      <c r="Y18" s="26">
        <f>SUM($X$18:$X$18)</f>
        <v>0</v>
      </c>
      <c r="Z18" s="26">
        <f>'TE BE'!$Z$18*'TE BF'!$Z$48</f>
        <v>0</v>
      </c>
      <c r="AA18" s="26">
        <f>SUM($Z$18:$Z$18)</f>
        <v>0</v>
      </c>
      <c r="AB18" s="26">
        <f>SUMIF($L$4:$AA$4,"SUBTOTAL",$L$18:$AA$18)</f>
        <v>0</v>
      </c>
    </row>
    <row r="19" spans="1:28" ht="11.25" customHeight="1" x14ac:dyDescent="0.3">
      <c r="A19" s="103"/>
      <c r="B19" s="103"/>
      <c r="C19" s="103"/>
      <c r="D19" s="28" t="s">
        <v>32</v>
      </c>
      <c r="E19" s="28" t="s">
        <v>25</v>
      </c>
      <c r="F19" s="28" t="s">
        <v>25</v>
      </c>
      <c r="G19" s="29" t="s">
        <v>79</v>
      </c>
      <c r="H19" s="29" t="s">
        <v>72</v>
      </c>
      <c r="I19" s="29">
        <f>'MERCADO TE'!$U$16</f>
        <v>0</v>
      </c>
      <c r="J19" s="15"/>
      <c r="L19" s="26">
        <f>'TE BE'!$L$19*'TE BF'!$L$48</f>
        <v>0</v>
      </c>
      <c r="M19" s="26">
        <f>'TE BE'!$M$19*'TE BF'!$M$48</f>
        <v>0</v>
      </c>
      <c r="N19" s="26">
        <f>'TE BE'!$N$19*'TE BF'!$N$48</f>
        <v>0</v>
      </c>
      <c r="O19" s="26">
        <f>'TE BE'!$O$19*'TE BF'!$O$48</f>
        <v>0</v>
      </c>
      <c r="P19" s="26">
        <f>'TE BE'!$P$19*'TE BF'!$P$48</f>
        <v>0</v>
      </c>
      <c r="Q19" s="26">
        <f>SUM($L$19:$P$19)</f>
        <v>0</v>
      </c>
      <c r="R19" s="26">
        <f>'TE BE'!$R$19*'TE BF'!$R$48</f>
        <v>0</v>
      </c>
      <c r="S19" s="26">
        <f>SUM($R$19:$R$19)</f>
        <v>0</v>
      </c>
      <c r="T19" s="26">
        <f>'TE BE'!$T$19*'TE BF'!$T$48</f>
        <v>0</v>
      </c>
      <c r="U19" s="26">
        <f>'TE BE'!$U$19*'TE BF'!$U$48</f>
        <v>0</v>
      </c>
      <c r="V19" s="26">
        <f>'TE BE'!$V$19*'TE BF'!$V$48</f>
        <v>0</v>
      </c>
      <c r="W19" s="26">
        <f>SUM($T$19:$V$19)</f>
        <v>0</v>
      </c>
      <c r="X19" s="26">
        <f>'TE BE'!$AB$19*'TE BF'!$X$48</f>
        <v>0</v>
      </c>
      <c r="Y19" s="26">
        <f>SUM($X$19:$X$19)</f>
        <v>0</v>
      </c>
      <c r="Z19" s="26">
        <f>'TE BE'!$Z$19*'TE BF'!$Z$48</f>
        <v>0</v>
      </c>
      <c r="AA19" s="26">
        <f>SUM($Z$19:$Z$19)</f>
        <v>0</v>
      </c>
      <c r="AB19" s="26">
        <f>SUMIF($L$4:$AA$4,"SUBTOTAL",$L$19:$AA$19)</f>
        <v>0</v>
      </c>
    </row>
    <row r="20" spans="1:28" ht="11.25" customHeight="1" x14ac:dyDescent="0.3">
      <c r="A20" s="103" t="s">
        <v>42</v>
      </c>
      <c r="B20" s="103" t="s">
        <v>71</v>
      </c>
      <c r="C20" s="103" t="s">
        <v>43</v>
      </c>
      <c r="D20" s="103" t="s">
        <v>25</v>
      </c>
      <c r="E20" s="103" t="s">
        <v>25</v>
      </c>
      <c r="F20" s="103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'TE BE'!$L$20*'TE BF'!$L$48</f>
        <v>0</v>
      </c>
      <c r="M20" s="26">
        <f>'TE BE'!$M$20*'TE BF'!$M$48</f>
        <v>0</v>
      </c>
      <c r="N20" s="26">
        <f>'TE BE'!$N$20*'TE BF'!$N$48</f>
        <v>0</v>
      </c>
      <c r="O20" s="26">
        <f>'TE BE'!$O$20*'TE BF'!$O$48</f>
        <v>0</v>
      </c>
      <c r="P20" s="26">
        <f>'TE BE'!$P$20*'TE BF'!$P$48</f>
        <v>0</v>
      </c>
      <c r="Q20" s="26">
        <f>SUM($L$20:$P$20)</f>
        <v>0</v>
      </c>
      <c r="R20" s="26">
        <f>'TE BE'!$R$20*'TE BF'!$R$48</f>
        <v>0</v>
      </c>
      <c r="S20" s="26">
        <f>SUM($R$20:$R$20)</f>
        <v>0</v>
      </c>
      <c r="T20" s="26">
        <f>'TE BE'!$T$20*'TE BF'!$T$48</f>
        <v>0</v>
      </c>
      <c r="U20" s="26">
        <f>'TE BE'!$U$20*'TE BF'!$U$48</f>
        <v>0</v>
      </c>
      <c r="V20" s="26">
        <f>'TE BE'!$V$20*'TE BF'!$V$48</f>
        <v>0</v>
      </c>
      <c r="W20" s="26">
        <f>SUM($T$20:$V$20)</f>
        <v>0</v>
      </c>
      <c r="X20" s="26">
        <f>'TE BE'!$AB$20*'TE BF'!$X$48</f>
        <v>0</v>
      </c>
      <c r="Y20" s="26">
        <f>SUM($X$20:$X$20)</f>
        <v>0</v>
      </c>
      <c r="Z20" s="26">
        <f>'TE BE'!$Z$20*'TE BF'!$Z$48</f>
        <v>0</v>
      </c>
      <c r="AA20" s="26">
        <f>SUM($Z$20:$Z$20)</f>
        <v>0</v>
      </c>
      <c r="AB20" s="26">
        <f>SUMIF($L$4:$AA$4,"SUBTOTAL",$L$20:$AA$20)</f>
        <v>0</v>
      </c>
    </row>
    <row r="21" spans="1:28" ht="11.25" customHeight="1" x14ac:dyDescent="0.3">
      <c r="A21" s="103"/>
      <c r="B21" s="103"/>
      <c r="C21" s="103"/>
      <c r="D21" s="103"/>
      <c r="E21" s="103"/>
      <c r="F21" s="103"/>
      <c r="G21" s="29" t="s">
        <v>85</v>
      </c>
      <c r="H21" s="29" t="s">
        <v>72</v>
      </c>
      <c r="I21" s="29">
        <f>'MERCADO TE'!$U$18</f>
        <v>0</v>
      </c>
      <c r="J21" s="15"/>
      <c r="L21" s="26">
        <f>'TE BE'!$L$21*'TE BF'!$L$48</f>
        <v>0</v>
      </c>
      <c r="M21" s="26">
        <f>'TE BE'!$M$21*'TE BF'!$M$48</f>
        <v>0</v>
      </c>
      <c r="N21" s="26">
        <f>'TE BE'!$N$21*'TE BF'!$N$48</f>
        <v>0</v>
      </c>
      <c r="O21" s="26">
        <f>'TE BE'!$O$21*'TE BF'!$O$48</f>
        <v>0</v>
      </c>
      <c r="P21" s="26">
        <f>'TE BE'!$P$21*'TE BF'!$P$48</f>
        <v>0</v>
      </c>
      <c r="Q21" s="26">
        <f>SUM($L$21:$P$21)</f>
        <v>0</v>
      </c>
      <c r="R21" s="26">
        <f>'TE BE'!$R$21*'TE BF'!$R$48</f>
        <v>0</v>
      </c>
      <c r="S21" s="26">
        <f>SUM($R$21:$R$21)</f>
        <v>0</v>
      </c>
      <c r="T21" s="26">
        <f>'TE BE'!$T$21*'TE BF'!$T$48</f>
        <v>0</v>
      </c>
      <c r="U21" s="26">
        <f>'TE BE'!$U$21*'TE BF'!$U$48</f>
        <v>0</v>
      </c>
      <c r="V21" s="26">
        <f>'TE BE'!$V$21*'TE BF'!$V$48</f>
        <v>0</v>
      </c>
      <c r="W21" s="26">
        <f>SUM($T$21:$V$21)</f>
        <v>0</v>
      </c>
      <c r="X21" s="26">
        <f>'TE BE'!$AB$21*'TE BF'!$X$48</f>
        <v>0</v>
      </c>
      <c r="Y21" s="26">
        <f>SUM($X$21:$X$21)</f>
        <v>0</v>
      </c>
      <c r="Z21" s="26">
        <f>'TE BE'!$Z$21*'TE BF'!$Z$48</f>
        <v>0</v>
      </c>
      <c r="AA21" s="26">
        <f>SUM($Z$21:$Z$21)</f>
        <v>0</v>
      </c>
      <c r="AB21" s="26">
        <f>SUMIF($L$4:$AA$4,"SUBTOTAL",$L$21:$AA$21)</f>
        <v>0</v>
      </c>
    </row>
    <row r="22" spans="1:28" ht="11.25" customHeight="1" x14ac:dyDescent="0.3">
      <c r="A22" s="103"/>
      <c r="B22" s="103"/>
      <c r="C22" s="103"/>
      <c r="D22" s="103"/>
      <c r="E22" s="103"/>
      <c r="F22" s="103"/>
      <c r="G22" s="29" t="s">
        <v>74</v>
      </c>
      <c r="H22" s="29" t="s">
        <v>72</v>
      </c>
      <c r="I22" s="29">
        <f>'MERCADO TE'!$U$19</f>
        <v>0</v>
      </c>
      <c r="J22" s="15"/>
      <c r="L22" s="26">
        <f>'TE BE'!$L$22*'TE BF'!$L$48</f>
        <v>0</v>
      </c>
      <c r="M22" s="26">
        <f>'TE BE'!$M$22*'TE BF'!$M$48</f>
        <v>0</v>
      </c>
      <c r="N22" s="26">
        <f>'TE BE'!$N$22*'TE BF'!$N$48</f>
        <v>0</v>
      </c>
      <c r="O22" s="26">
        <f>'TE BE'!$O$22*'TE BF'!$O$48</f>
        <v>0</v>
      </c>
      <c r="P22" s="26">
        <f>'TE BE'!$P$22*'TE BF'!$P$48</f>
        <v>0</v>
      </c>
      <c r="Q22" s="26">
        <f>SUM($L$22:$P$22)</f>
        <v>0</v>
      </c>
      <c r="R22" s="26">
        <f>'TE BE'!$R$22*'TE BF'!$R$48</f>
        <v>0</v>
      </c>
      <c r="S22" s="26">
        <f>SUM($R$22:$R$22)</f>
        <v>0</v>
      </c>
      <c r="T22" s="26">
        <f>'TE BE'!$T$22*'TE BF'!$T$48</f>
        <v>0</v>
      </c>
      <c r="U22" s="26">
        <f>'TE BE'!$U$22*'TE BF'!$U$48</f>
        <v>0</v>
      </c>
      <c r="V22" s="26">
        <f>'TE BE'!$V$22*'TE BF'!$V$48</f>
        <v>0</v>
      </c>
      <c r="W22" s="26">
        <f>SUM($T$22:$V$22)</f>
        <v>0</v>
      </c>
      <c r="X22" s="26">
        <f>'TE BE'!$AB$22*'TE BF'!$X$48</f>
        <v>0</v>
      </c>
      <c r="Y22" s="26">
        <f>SUM($X$22:$X$22)</f>
        <v>0</v>
      </c>
      <c r="Z22" s="26">
        <f>'TE BE'!$Z$22*'TE BF'!$Z$48</f>
        <v>0</v>
      </c>
      <c r="AA22" s="26">
        <f>SUM($Z$22:$Z$22)</f>
        <v>0</v>
      </c>
      <c r="AB22" s="26">
        <f>SUMIF($L$4:$AA$4,"SUBTOTAL",$L$22:$AA$22)</f>
        <v>0</v>
      </c>
    </row>
    <row r="23" spans="1:28" ht="11.25" customHeight="1" x14ac:dyDescent="0.3">
      <c r="A23" s="103"/>
      <c r="B23" s="28" t="s">
        <v>86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79</v>
      </c>
      <c r="H23" s="29" t="s">
        <v>72</v>
      </c>
      <c r="I23" s="29">
        <f>'MERCADO TE'!$U$20</f>
        <v>5511.7490000000016</v>
      </c>
      <c r="J23" s="15"/>
      <c r="L23" s="26">
        <f>'TE BE'!$L$23*'TE BF'!$L$48</f>
        <v>0</v>
      </c>
      <c r="M23" s="26">
        <f>'TE BE'!$M$23*'TE BF'!$M$48</f>
        <v>0</v>
      </c>
      <c r="N23" s="26">
        <f>'TE BE'!$N$23*'TE BF'!$N$48</f>
        <v>0</v>
      </c>
      <c r="O23" s="26">
        <f>'TE BE'!$O$23*'TE BF'!$O$48</f>
        <v>0</v>
      </c>
      <c r="P23" s="26">
        <f>'TE BE'!$P$23*'TE BF'!$P$48</f>
        <v>0</v>
      </c>
      <c r="Q23" s="26">
        <f>SUM($L$23:$P$23)</f>
        <v>0</v>
      </c>
      <c r="R23" s="26">
        <f>'TE BE'!$R$23*'TE BF'!$R$48</f>
        <v>0</v>
      </c>
      <c r="S23" s="26">
        <f>SUM($R$23:$R$23)</f>
        <v>0</v>
      </c>
      <c r="T23" s="26">
        <f>'TE BE'!$T$23*'TE BF'!$T$48</f>
        <v>0</v>
      </c>
      <c r="U23" s="26">
        <f>'TE BE'!$U$23*'TE BF'!$U$48</f>
        <v>0</v>
      </c>
      <c r="V23" s="26">
        <f>'TE BE'!$V$23*'TE BF'!$V$48</f>
        <v>0</v>
      </c>
      <c r="W23" s="26">
        <f>SUM($T$23:$V$23)</f>
        <v>0</v>
      </c>
      <c r="X23" s="26">
        <f>'TE BE'!$AB$23*'TE BF'!$X$48</f>
        <v>0</v>
      </c>
      <c r="Y23" s="26">
        <f>SUM($X$23:$X$23)</f>
        <v>0</v>
      </c>
      <c r="Z23" s="26">
        <f>'TE BE'!$Z$23*'TE BF'!$Z$48</f>
        <v>0</v>
      </c>
      <c r="AA23" s="26">
        <f>SUM($Z$23:$Z$23)</f>
        <v>0</v>
      </c>
      <c r="AB23" s="26">
        <f>SUMIF($L$4:$AA$4,"SUBTOTAL",$L$23:$AA$23)</f>
        <v>0</v>
      </c>
    </row>
    <row r="24" spans="1:28" ht="11.25" customHeight="1" x14ac:dyDescent="0.3">
      <c r="A24" s="103"/>
      <c r="B24" s="103" t="s">
        <v>71</v>
      </c>
      <c r="C24" s="103" t="s">
        <v>43</v>
      </c>
      <c r="D24" s="103" t="s">
        <v>89</v>
      </c>
      <c r="E24" s="103" t="s">
        <v>25</v>
      </c>
      <c r="F24" s="103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'TE BE'!$L$24*'TE BF'!$L$48</f>
        <v>0</v>
      </c>
      <c r="M24" s="26">
        <f>'TE BE'!$M$24*'TE BF'!$M$48</f>
        <v>0</v>
      </c>
      <c r="N24" s="26">
        <f>'TE BE'!$N$24*'TE BF'!$N$48</f>
        <v>0</v>
      </c>
      <c r="O24" s="26">
        <f>'TE BE'!$O$24*'TE BF'!$O$48</f>
        <v>0</v>
      </c>
      <c r="P24" s="26">
        <f>'TE BE'!$P$24*'TE BF'!$P$48</f>
        <v>0</v>
      </c>
      <c r="Q24" s="26">
        <f>SUM($L$24:$P$24)</f>
        <v>0</v>
      </c>
      <c r="R24" s="26">
        <f>'TE BE'!$R$24*'TE BF'!$R$48</f>
        <v>0</v>
      </c>
      <c r="S24" s="26">
        <f>SUM($R$24:$R$24)</f>
        <v>0</v>
      </c>
      <c r="T24" s="26">
        <f>'TE BE'!$T$24*'TE BF'!$T$48</f>
        <v>0</v>
      </c>
      <c r="U24" s="26">
        <f>'TE BE'!$U$24*'TE BF'!$U$48</f>
        <v>0</v>
      </c>
      <c r="V24" s="26">
        <f>'TE BE'!$V$24*'TE BF'!$V$48</f>
        <v>0</v>
      </c>
      <c r="W24" s="26">
        <f>SUM($T$24:$V$24)</f>
        <v>0</v>
      </c>
      <c r="X24" s="26">
        <f>'TE BE'!$AB$24*'TE BF'!$X$48</f>
        <v>0</v>
      </c>
      <c r="Y24" s="26">
        <f>SUM($X$24:$X$24)</f>
        <v>0</v>
      </c>
      <c r="Z24" s="26">
        <f>'TE BE'!$Z$24*'TE BF'!$Z$48</f>
        <v>0</v>
      </c>
      <c r="AA24" s="26">
        <f>SUM($Z$24:$Z$24)</f>
        <v>0</v>
      </c>
      <c r="AB24" s="26">
        <f>SUMIF($L$4:$AA$4,"SUBTOTAL",$L$24:$AA$24)</f>
        <v>0</v>
      </c>
    </row>
    <row r="25" spans="1:28" ht="11.25" customHeight="1" x14ac:dyDescent="0.3">
      <c r="A25" s="103"/>
      <c r="B25" s="103"/>
      <c r="C25" s="103"/>
      <c r="D25" s="103"/>
      <c r="E25" s="103"/>
      <c r="F25" s="103"/>
      <c r="G25" s="29" t="s">
        <v>85</v>
      </c>
      <c r="H25" s="29" t="s">
        <v>72</v>
      </c>
      <c r="I25" s="29">
        <f>'MERCADO TE'!$U$22</f>
        <v>0</v>
      </c>
      <c r="J25" s="15"/>
      <c r="L25" s="26">
        <f>'TE BE'!$L$25*'TE BF'!$L$48</f>
        <v>0</v>
      </c>
      <c r="M25" s="26">
        <f>'TE BE'!$M$25*'TE BF'!$M$48</f>
        <v>0</v>
      </c>
      <c r="N25" s="26">
        <f>'TE BE'!$N$25*'TE BF'!$N$48</f>
        <v>0</v>
      </c>
      <c r="O25" s="26">
        <f>'TE BE'!$O$25*'TE BF'!$O$48</f>
        <v>0</v>
      </c>
      <c r="P25" s="26">
        <f>'TE BE'!$P$25*'TE BF'!$P$48</f>
        <v>0</v>
      </c>
      <c r="Q25" s="26">
        <f>SUM($L$25:$P$25)</f>
        <v>0</v>
      </c>
      <c r="R25" s="26">
        <f>'TE BE'!$R$25*'TE BF'!$R$48</f>
        <v>0</v>
      </c>
      <c r="S25" s="26">
        <f>SUM($R$25:$R$25)</f>
        <v>0</v>
      </c>
      <c r="T25" s="26">
        <f>'TE BE'!$T$25*'TE BF'!$T$48</f>
        <v>0</v>
      </c>
      <c r="U25" s="26">
        <f>'TE BE'!$U$25*'TE BF'!$U$48</f>
        <v>0</v>
      </c>
      <c r="V25" s="26">
        <f>'TE BE'!$V$25*'TE BF'!$V$48</f>
        <v>0</v>
      </c>
      <c r="W25" s="26">
        <f>SUM($T$25:$V$25)</f>
        <v>0</v>
      </c>
      <c r="X25" s="26">
        <f>'TE BE'!$AB$25*'TE BF'!$X$48</f>
        <v>0</v>
      </c>
      <c r="Y25" s="26">
        <f>SUM($X$25:$X$25)</f>
        <v>0</v>
      </c>
      <c r="Z25" s="26">
        <f>'TE BE'!$Z$25*'TE BF'!$Z$48</f>
        <v>0</v>
      </c>
      <c r="AA25" s="26">
        <f>SUM($Z$25:$Z$25)</f>
        <v>0</v>
      </c>
      <c r="AB25" s="26">
        <f>SUMIF($L$4:$AA$4,"SUBTOTAL",$L$25:$AA$25)</f>
        <v>0</v>
      </c>
    </row>
    <row r="26" spans="1:28" ht="11.25" customHeight="1" x14ac:dyDescent="0.3">
      <c r="A26" s="103"/>
      <c r="B26" s="103"/>
      <c r="C26" s="103"/>
      <c r="D26" s="103"/>
      <c r="E26" s="103"/>
      <c r="F26" s="103"/>
      <c r="G26" s="29" t="s">
        <v>74</v>
      </c>
      <c r="H26" s="29" t="s">
        <v>72</v>
      </c>
      <c r="I26" s="29">
        <f>'MERCADO TE'!$U$23</f>
        <v>0</v>
      </c>
      <c r="J26" s="15"/>
      <c r="L26" s="26">
        <f>'TE BE'!$L$26*'TE BF'!$L$48</f>
        <v>0</v>
      </c>
      <c r="M26" s="26">
        <f>'TE BE'!$M$26*'TE BF'!$M$48</f>
        <v>0</v>
      </c>
      <c r="N26" s="26">
        <f>'TE BE'!$N$26*'TE BF'!$N$48</f>
        <v>0</v>
      </c>
      <c r="O26" s="26">
        <f>'TE BE'!$O$26*'TE BF'!$O$48</f>
        <v>0</v>
      </c>
      <c r="P26" s="26">
        <f>'TE BE'!$P$26*'TE BF'!$P$48</f>
        <v>0</v>
      </c>
      <c r="Q26" s="26">
        <f>SUM($L$26:$P$26)</f>
        <v>0</v>
      </c>
      <c r="R26" s="26">
        <f>'TE BE'!$R$26*'TE BF'!$R$48</f>
        <v>0</v>
      </c>
      <c r="S26" s="26">
        <f>SUM($R$26:$R$26)</f>
        <v>0</v>
      </c>
      <c r="T26" s="26">
        <f>'TE BE'!$T$26*'TE BF'!$T$48</f>
        <v>0</v>
      </c>
      <c r="U26" s="26">
        <f>'TE BE'!$U$26*'TE BF'!$U$48</f>
        <v>0</v>
      </c>
      <c r="V26" s="26">
        <f>'TE BE'!$V$26*'TE BF'!$V$48</f>
        <v>0</v>
      </c>
      <c r="W26" s="26">
        <f>SUM($T$26:$V$26)</f>
        <v>0</v>
      </c>
      <c r="X26" s="26">
        <f>'TE BE'!$AB$26*'TE BF'!$X$48</f>
        <v>0</v>
      </c>
      <c r="Y26" s="26">
        <f>SUM($X$26:$X$26)</f>
        <v>0</v>
      </c>
      <c r="Z26" s="26">
        <f>'TE BE'!$Z$26*'TE BF'!$Z$48</f>
        <v>0</v>
      </c>
      <c r="AA26" s="26">
        <f>SUM($Z$26:$Z$26)</f>
        <v>0</v>
      </c>
      <c r="AB26" s="26">
        <f>SUMIF($L$4:$AA$4,"SUBTOTAL",$L$26:$AA$26)</f>
        <v>0</v>
      </c>
    </row>
    <row r="27" spans="1:28" ht="11.25" customHeight="1" x14ac:dyDescent="0.3">
      <c r="A27" s="103"/>
      <c r="B27" s="28" t="s">
        <v>86</v>
      </c>
      <c r="C27" s="28" t="s">
        <v>43</v>
      </c>
      <c r="D27" s="28" t="s">
        <v>89</v>
      </c>
      <c r="E27" s="28" t="s">
        <v>25</v>
      </c>
      <c r="F27" s="28" t="s">
        <v>25</v>
      </c>
      <c r="G27" s="29" t="s">
        <v>79</v>
      </c>
      <c r="H27" s="29" t="s">
        <v>72</v>
      </c>
      <c r="I27" s="29">
        <f>'MERCADO TE'!$U$24</f>
        <v>0</v>
      </c>
      <c r="J27" s="15"/>
      <c r="L27" s="26">
        <f>'TE BE'!$L$27*'TE BF'!$L$48</f>
        <v>0</v>
      </c>
      <c r="M27" s="26">
        <f>'TE BE'!$M$27*'TE BF'!$M$48</f>
        <v>0</v>
      </c>
      <c r="N27" s="26">
        <f>'TE BE'!$N$27*'TE BF'!$N$48</f>
        <v>0</v>
      </c>
      <c r="O27" s="26">
        <f>'TE BE'!$O$27*'TE BF'!$O$48</f>
        <v>0</v>
      </c>
      <c r="P27" s="26">
        <f>'TE BE'!$P$27*'TE BF'!$P$48</f>
        <v>0</v>
      </c>
      <c r="Q27" s="26">
        <f>SUM($L$27:$P$27)</f>
        <v>0</v>
      </c>
      <c r="R27" s="26">
        <f>'TE BE'!$R$27*'TE BF'!$R$48</f>
        <v>0</v>
      </c>
      <c r="S27" s="26">
        <f>SUM($R$27:$R$27)</f>
        <v>0</v>
      </c>
      <c r="T27" s="26">
        <f>'TE BE'!$T$27*'TE BF'!$T$48</f>
        <v>0</v>
      </c>
      <c r="U27" s="26">
        <f>'TE BE'!$U$27*'TE BF'!$U$48</f>
        <v>0</v>
      </c>
      <c r="V27" s="26">
        <f>'TE BE'!$V$27*'TE BF'!$V$48</f>
        <v>0</v>
      </c>
      <c r="W27" s="26">
        <f>SUM($T$27:$V$27)</f>
        <v>0</v>
      </c>
      <c r="X27" s="26">
        <f>'TE BE'!$AB$27*'TE BF'!$X$48</f>
        <v>0</v>
      </c>
      <c r="Y27" s="26">
        <f>SUM($X$27:$X$27)</f>
        <v>0</v>
      </c>
      <c r="Z27" s="26">
        <f>'TE BE'!$Z$27*'TE BF'!$Z$48</f>
        <v>0</v>
      </c>
      <c r="AA27" s="26">
        <f>SUM($Z$27:$Z$27)</f>
        <v>0</v>
      </c>
      <c r="AB27" s="26">
        <f>SUMIF($L$4:$AA$4,"SUBTOTAL",$L$27:$AA$27)</f>
        <v>0</v>
      </c>
    </row>
    <row r="28" spans="1:28" ht="11.25" customHeight="1" x14ac:dyDescent="0.3">
      <c r="A28" s="103"/>
      <c r="B28" s="103" t="s">
        <v>71</v>
      </c>
      <c r="C28" s="103" t="s">
        <v>43</v>
      </c>
      <c r="D28" s="103" t="s">
        <v>90</v>
      </c>
      <c r="E28" s="103" t="s">
        <v>25</v>
      </c>
      <c r="F28" s="103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'TE BE'!$L$28*'TE BF'!$L$48</f>
        <v>0</v>
      </c>
      <c r="M28" s="26">
        <f>'TE BE'!$M$28*'TE BF'!$M$48</f>
        <v>0</v>
      </c>
      <c r="N28" s="26">
        <f>'TE BE'!$N$28*'TE BF'!$N$48</f>
        <v>0</v>
      </c>
      <c r="O28" s="26">
        <f>'TE BE'!$O$28*'TE BF'!$O$48</f>
        <v>0</v>
      </c>
      <c r="P28" s="26">
        <f>'TE BE'!$P$28*'TE BF'!$P$48</f>
        <v>0</v>
      </c>
      <c r="Q28" s="26">
        <f>SUM($L$28:$P$28)</f>
        <v>0</v>
      </c>
      <c r="R28" s="26">
        <f>'TE BE'!$R$28*'TE BF'!$R$48</f>
        <v>0</v>
      </c>
      <c r="S28" s="26">
        <f>SUM($R$28:$R$28)</f>
        <v>0</v>
      </c>
      <c r="T28" s="26">
        <f>'TE BE'!$T$28*'TE BF'!$T$48</f>
        <v>0</v>
      </c>
      <c r="U28" s="26">
        <f>'TE BE'!$U$28*'TE BF'!$U$48</f>
        <v>0</v>
      </c>
      <c r="V28" s="26">
        <f>'TE BE'!$V$28*'TE BF'!$V$48</f>
        <v>0</v>
      </c>
      <c r="W28" s="26">
        <f>SUM($T$28:$V$28)</f>
        <v>0</v>
      </c>
      <c r="X28" s="26">
        <f>'TE BE'!$AB$28*'TE BF'!$X$48</f>
        <v>0</v>
      </c>
      <c r="Y28" s="26">
        <f>SUM($X$28:$X$28)</f>
        <v>0</v>
      </c>
      <c r="Z28" s="26">
        <f>'TE BE'!$Z$28*'TE BF'!$Z$48</f>
        <v>0</v>
      </c>
      <c r="AA28" s="26">
        <f>SUM($Z$28:$Z$28)</f>
        <v>0</v>
      </c>
      <c r="AB28" s="26">
        <f>SUMIF($L$4:$AA$4,"SUBTOTAL",$L$28:$AA$28)</f>
        <v>0</v>
      </c>
    </row>
    <row r="29" spans="1:28" ht="11.25" customHeight="1" x14ac:dyDescent="0.3">
      <c r="A29" s="103"/>
      <c r="B29" s="103"/>
      <c r="C29" s="103"/>
      <c r="D29" s="103"/>
      <c r="E29" s="103"/>
      <c r="F29" s="103"/>
      <c r="G29" s="29" t="s">
        <v>85</v>
      </c>
      <c r="H29" s="29" t="s">
        <v>72</v>
      </c>
      <c r="I29" s="29">
        <f>'MERCADO TE'!$U$26</f>
        <v>0</v>
      </c>
      <c r="J29" s="15"/>
      <c r="L29" s="26">
        <f>'TE BE'!$L$29*'TE BF'!$L$48</f>
        <v>0</v>
      </c>
      <c r="M29" s="26">
        <f>'TE BE'!$M$29*'TE BF'!$M$48</f>
        <v>0</v>
      </c>
      <c r="N29" s="26">
        <f>'TE BE'!$N$29*'TE BF'!$N$48</f>
        <v>0</v>
      </c>
      <c r="O29" s="26">
        <f>'TE BE'!$O$29*'TE BF'!$O$48</f>
        <v>0</v>
      </c>
      <c r="P29" s="26">
        <f>'TE BE'!$P$29*'TE BF'!$P$48</f>
        <v>0</v>
      </c>
      <c r="Q29" s="26">
        <f>SUM($L$29:$P$29)</f>
        <v>0</v>
      </c>
      <c r="R29" s="26">
        <f>'TE BE'!$R$29*'TE BF'!$R$48</f>
        <v>0</v>
      </c>
      <c r="S29" s="26">
        <f>SUM($R$29:$R$29)</f>
        <v>0</v>
      </c>
      <c r="T29" s="26">
        <f>'TE BE'!$T$29*'TE BF'!$T$48</f>
        <v>0</v>
      </c>
      <c r="U29" s="26">
        <f>'TE BE'!$U$29*'TE BF'!$U$48</f>
        <v>0</v>
      </c>
      <c r="V29" s="26">
        <f>'TE BE'!$V$29*'TE BF'!$V$48</f>
        <v>0</v>
      </c>
      <c r="W29" s="26">
        <f>SUM($T$29:$V$29)</f>
        <v>0</v>
      </c>
      <c r="X29" s="26">
        <f>'TE BE'!$AB$29*'TE BF'!$X$48</f>
        <v>0</v>
      </c>
      <c r="Y29" s="26">
        <f>SUM($X$29:$X$29)</f>
        <v>0</v>
      </c>
      <c r="Z29" s="26">
        <f>'TE BE'!$Z$29*'TE BF'!$Z$48</f>
        <v>0</v>
      </c>
      <c r="AA29" s="26">
        <f>SUM($Z$29:$Z$29)</f>
        <v>0</v>
      </c>
      <c r="AB29" s="26">
        <f>SUMIF($L$4:$AA$4,"SUBTOTAL",$L$29:$AA$29)</f>
        <v>0</v>
      </c>
    </row>
    <row r="30" spans="1:28" ht="11.25" c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"29" t="s">
        <v>72</v>
      </c>
      <c r="I30" s="29">
        <f>'MERCADO TE'!$U$27</f>
        <v>0</v>
      </c>
      <c r="J30" s="15"/>
      <c r="L30" s="26">
        <f>'TE BE'!$L$30*'TE BF'!$L$48</f>
        <v>0</v>
      </c>
      <c r="M30" s="26">
        <f>'TE BE'!$M$30*'TE BF'!$M$48</f>
        <v>0</v>
      </c>
      <c r="N30" s="26">
        <f>'TE BE'!$N$30*'TE BF'!$N$48</f>
        <v>0</v>
      </c>
      <c r="O30" s="26">
        <f>'TE BE'!$O$30*'TE BF'!$O$48</f>
        <v>0</v>
      </c>
      <c r="P30" s="26">
        <f>'TE BE'!$P$30*'TE BF'!$P$48</f>
        <v>0</v>
      </c>
      <c r="Q30" s="26">
        <f>SUM($L$30:$P$30)</f>
        <v>0</v>
      </c>
      <c r="R30" s="26">
        <f>'TE BE'!$R$30*'TE BF'!$R$48</f>
        <v>0</v>
      </c>
      <c r="S30" s="26">
        <f>SUM($R$30:$R$30)</f>
        <v>0</v>
      </c>
      <c r="T30" s="26">
        <f>'TE BE'!$T$30*'TE BF'!$T$48</f>
        <v>0</v>
      </c>
      <c r="U30" s="26">
        <f>'TE BE'!$U$30*'TE BF'!$U$48</f>
        <v>0</v>
      </c>
      <c r="V30" s="26">
        <f>'TE BE'!$V$30*'TE BF'!$V$48</f>
        <v>0</v>
      </c>
      <c r="W30" s="26">
        <f>SUM($T$30:$V$30)</f>
        <v>0</v>
      </c>
      <c r="X30" s="26">
        <f>'TE BE'!$AB$30*'TE BF'!$X$48</f>
        <v>0</v>
      </c>
      <c r="Y30" s="26">
        <f>SUM($X$30:$X$30)</f>
        <v>0</v>
      </c>
      <c r="Z30" s="26">
        <f>'TE BE'!$Z$30*'TE BF'!$Z$48</f>
        <v>0</v>
      </c>
      <c r="AA30" s="26">
        <f>SUM($Z$30:$Z$30)</f>
        <v>0</v>
      </c>
      <c r="AB30" s="26">
        <f>SUMIF($L$4:$AA$4,"SUBTOTAL",$L$30:$AA$30)</f>
        <v>0</v>
      </c>
    </row>
    <row r="31" spans="1:28" ht="11.25" customHeight="1" x14ac:dyDescent="0.3">
      <c r="A31" s="103"/>
      <c r="B31" s="28" t="s">
        <v>86</v>
      </c>
      <c r="C31" s="28" t="s">
        <v>43</v>
      </c>
      <c r="D31" s="28" t="s">
        <v>90</v>
      </c>
      <c r="E31" s="28" t="s">
        <v>25</v>
      </c>
      <c r="F31" s="28" t="s">
        <v>25</v>
      </c>
      <c r="G31" s="29" t="s">
        <v>79</v>
      </c>
      <c r="H31" s="29" t="s">
        <v>72</v>
      </c>
      <c r="I31" s="29">
        <f>'MERCADO TE'!$U$28</f>
        <v>0</v>
      </c>
      <c r="J31" s="15"/>
      <c r="L31" s="26">
        <f>'TE BE'!$L$31*'TE BF'!$L$48</f>
        <v>0</v>
      </c>
      <c r="M31" s="26">
        <f>'TE BE'!$M$31*'TE BF'!$M$48</f>
        <v>0</v>
      </c>
      <c r="N31" s="26">
        <f>'TE BE'!$N$31*'TE BF'!$N$48</f>
        <v>0</v>
      </c>
      <c r="O31" s="26">
        <f>'TE BE'!$O$31*'TE BF'!$O$48</f>
        <v>0</v>
      </c>
      <c r="P31" s="26">
        <f>'TE BE'!$P$31*'TE BF'!$P$48</f>
        <v>0</v>
      </c>
      <c r="Q31" s="26">
        <f>SUM($L$31:$P$31)</f>
        <v>0</v>
      </c>
      <c r="R31" s="26">
        <f>'TE BE'!$R$31*'TE BF'!$R$48</f>
        <v>0</v>
      </c>
      <c r="S31" s="26">
        <f>SUM($R$31:$R$31)</f>
        <v>0</v>
      </c>
      <c r="T31" s="26">
        <f>'TE BE'!$T$31*'TE BF'!$T$48</f>
        <v>0</v>
      </c>
      <c r="U31" s="26">
        <f>'TE BE'!$U$31*'TE BF'!$U$48</f>
        <v>0</v>
      </c>
      <c r="V31" s="26">
        <f>'TE BE'!$V$31*'TE BF'!$V$48</f>
        <v>0</v>
      </c>
      <c r="W31" s="26">
        <f>SUM($T$31:$V$31)</f>
        <v>0</v>
      </c>
      <c r="X31" s="26">
        <f>'TE BE'!$AB$31*'TE BF'!$X$48</f>
        <v>0</v>
      </c>
      <c r="Y31" s="26">
        <f>SUM($X$31:$X$31)</f>
        <v>0</v>
      </c>
      <c r="Z31" s="26">
        <f>'TE BE'!$Z$31*'TE BF'!$Z$48</f>
        <v>0</v>
      </c>
      <c r="AA31" s="26">
        <f>SUM($Z$31:$Z$31)</f>
        <v>0</v>
      </c>
      <c r="AB31" s="26">
        <f>SUMIF($L$4:$AA$4,"SUBTOTAL",$L$31:$AA$31)</f>
        <v>0</v>
      </c>
    </row>
    <row r="32" spans="1:28" ht="11.25" customHeight="1" x14ac:dyDescent="0.3">
      <c r="A32" s="103"/>
      <c r="B32" s="103" t="s">
        <v>87</v>
      </c>
      <c r="C32" s="103" t="s">
        <v>43</v>
      </c>
      <c r="D32" s="28" t="s">
        <v>25</v>
      </c>
      <c r="E32" s="28" t="s">
        <v>25</v>
      </c>
      <c r="F32" s="28" t="s">
        <v>25</v>
      </c>
      <c r="G32" s="29" t="s">
        <v>79</v>
      </c>
      <c r="H32" s="29" t="s">
        <v>72</v>
      </c>
      <c r="I32" s="29">
        <f>'MERCADO TE'!$U$29</f>
        <v>0</v>
      </c>
      <c r="J32" s="15"/>
      <c r="L32" s="26">
        <f>'TE BE'!$L$32*'TE BF'!$L$48</f>
        <v>0</v>
      </c>
      <c r="M32" s="26">
        <f>'TE BE'!$M$32*'TE BF'!$M$48</f>
        <v>0</v>
      </c>
      <c r="N32" s="26">
        <f>'TE BE'!$N$32*'TE BF'!$N$48</f>
        <v>0</v>
      </c>
      <c r="O32" s="26">
        <f>'TE BE'!$O$32*'TE BF'!$O$48</f>
        <v>0</v>
      </c>
      <c r="P32" s="26">
        <f>'TE BE'!$P$32*'TE BF'!$P$48</f>
        <v>0</v>
      </c>
      <c r="Q32" s="26">
        <f>SUM($L$32:$P$32)</f>
        <v>0</v>
      </c>
      <c r="R32" s="26">
        <f>'TE BE'!$R$32*'TE BF'!$R$48</f>
        <v>0</v>
      </c>
      <c r="S32" s="26">
        <f>SUM($R$32:$R$32)</f>
        <v>0</v>
      </c>
      <c r="T32" s="26">
        <f>'TE BE'!$T$32*'TE BF'!$T$48</f>
        <v>0</v>
      </c>
      <c r="U32" s="26">
        <f>'TE BE'!$U$32*'TE BF'!$U$48</f>
        <v>0</v>
      </c>
      <c r="V32" s="26">
        <f>'TE BE'!$V$32*'TE BF'!$V$48</f>
        <v>0</v>
      </c>
      <c r="W32" s="26">
        <f>SUM($T$32:$V$32)</f>
        <v>0</v>
      </c>
      <c r="X32" s="26">
        <f>'TE BE'!$AB$32*'TE BF'!$X$48</f>
        <v>0</v>
      </c>
      <c r="Y32" s="26">
        <f>SUM($X$32:$X$32)</f>
        <v>0</v>
      </c>
      <c r="Z32" s="26">
        <f>'TE BE'!$Z$32*'TE BF'!$Z$48</f>
        <v>0</v>
      </c>
      <c r="AA32" s="26">
        <f>SUM($Z$32:$Z$32)</f>
        <v>0</v>
      </c>
      <c r="AB32" s="26">
        <f>SUMIF($L$4:$AA$4,"SUBTOTAL",$L$32:$AA$32)</f>
        <v>0</v>
      </c>
    </row>
    <row r="33" spans="1:28" ht="11.25" customHeight="1" x14ac:dyDescent="0.3">
      <c r="A33" s="103"/>
      <c r="B33" s="103"/>
      <c r="C33" s="103"/>
      <c r="D33" s="28" t="s">
        <v>89</v>
      </c>
      <c r="E33" s="28" t="s">
        <v>25</v>
      </c>
      <c r="F33" s="28" t="s">
        <v>25</v>
      </c>
      <c r="G33" s="29" t="s">
        <v>79</v>
      </c>
      <c r="H33" s="29" t="s">
        <v>72</v>
      </c>
      <c r="I33" s="29">
        <f>'MERCADO TE'!$U$30</f>
        <v>0</v>
      </c>
      <c r="J33" s="15"/>
      <c r="L33" s="26">
        <f>'TE BE'!$L$33*'TE BF'!$L$48</f>
        <v>0</v>
      </c>
      <c r="M33" s="26">
        <f>'TE BE'!$M$33*'TE BF'!$M$48</f>
        <v>0</v>
      </c>
      <c r="N33" s="26">
        <f>'TE BE'!$N$33*'TE BF'!$N$48</f>
        <v>0</v>
      </c>
      <c r="O33" s="26">
        <f>'TE BE'!$O$33*'TE BF'!$O$48</f>
        <v>0</v>
      </c>
      <c r="P33" s="26">
        <f>'TE BE'!$P$33*'TE BF'!$P$48</f>
        <v>0</v>
      </c>
      <c r="Q33" s="26">
        <f>SUM($L$33:$P$33)</f>
        <v>0</v>
      </c>
      <c r="R33" s="26">
        <f>'TE BE'!$R$33*'TE BF'!$R$48</f>
        <v>0</v>
      </c>
      <c r="S33" s="26">
        <f>SUM($R$33:$R$33)</f>
        <v>0</v>
      </c>
      <c r="T33" s="26">
        <f>'TE BE'!$T$33*'TE BF'!$T$48</f>
        <v>0</v>
      </c>
      <c r="U33" s="26">
        <f>'TE BE'!$U$33*'TE BF'!$U$48</f>
        <v>0</v>
      </c>
      <c r="V33" s="26">
        <f>'TE BE'!$V$33*'TE BF'!$V$48</f>
        <v>0</v>
      </c>
      <c r="W33" s="26">
        <f>SUM($T$33:$V$33)</f>
        <v>0</v>
      </c>
      <c r="X33" s="26">
        <f>'TE BE'!$AB$33*'TE BF'!$X$48</f>
        <v>0</v>
      </c>
      <c r="Y33" s="26">
        <f>SUM($X$33:$X$33)</f>
        <v>0</v>
      </c>
      <c r="Z33" s="26">
        <f>'TE BE'!$Z$33*'TE BF'!$Z$48</f>
        <v>0</v>
      </c>
      <c r="AA33" s="26">
        <f>SUM($Z$33:$Z$33)</f>
        <v>0</v>
      </c>
      <c r="AB33" s="26">
        <f>SUMIF($L$4:$AA$4,"SUBTOTAL",$L$33:$AA$33)</f>
        <v>0</v>
      </c>
    </row>
    <row r="34" spans="1:28" ht="11.25" customHeight="1" x14ac:dyDescent="0.3">
      <c r="A34" s="103"/>
      <c r="B34" s="103"/>
      <c r="C34" s="103"/>
      <c r="D34" s="28" t="s">
        <v>90</v>
      </c>
      <c r="E34" s="28" t="s">
        <v>25</v>
      </c>
      <c r="F34" s="28" t="s">
        <v>25</v>
      </c>
      <c r="G34" s="29" t="s">
        <v>79</v>
      </c>
      <c r="H34" s="29" t="s">
        <v>72</v>
      </c>
      <c r="I34" s="29">
        <f>'MERCADO TE'!$U$31</f>
        <v>0</v>
      </c>
      <c r="J34" s="15"/>
      <c r="L34" s="26">
        <f>'TE BE'!$L$34*'TE BF'!$L$48</f>
        <v>0</v>
      </c>
      <c r="M34" s="26">
        <f>'TE BE'!$M$34*'TE BF'!$M$48</f>
        <v>0</v>
      </c>
      <c r="N34" s="26">
        <f>'TE BE'!$N$34*'TE BF'!$N$48</f>
        <v>0</v>
      </c>
      <c r="O34" s="26">
        <f>'TE BE'!$O$34*'TE BF'!$O$48</f>
        <v>0</v>
      </c>
      <c r="P34" s="26">
        <f>'TE BE'!$P$34*'TE BF'!$P$48</f>
        <v>0</v>
      </c>
      <c r="Q34" s="26">
        <f>SUM($L$34:$P$34)</f>
        <v>0</v>
      </c>
      <c r="R34" s="26">
        <f>'TE BE'!$R$34*'TE BF'!$R$48</f>
        <v>0</v>
      </c>
      <c r="S34" s="26">
        <f>SUM($R$34:$R$34)</f>
        <v>0</v>
      </c>
      <c r="T34" s="26">
        <f>'TE BE'!$T$34*'TE BF'!$T$48</f>
        <v>0</v>
      </c>
      <c r="U34" s="26">
        <f>'TE BE'!$U$34*'TE BF'!$U$48</f>
        <v>0</v>
      </c>
      <c r="V34" s="26">
        <f>'TE BE'!$V$34*'TE BF'!$V$48</f>
        <v>0</v>
      </c>
      <c r="W34" s="26">
        <f>SUM($T$34:$V$34)</f>
        <v>0</v>
      </c>
      <c r="X34" s="26">
        <f>'TE BE'!$AB$34*'TE BF'!$X$48</f>
        <v>0</v>
      </c>
      <c r="Y34" s="26">
        <f>SUM($X$34:$X$34)</f>
        <v>0</v>
      </c>
      <c r="Z34" s="26">
        <f>'TE BE'!$Z$34*'TE BF'!$Z$48</f>
        <v>0</v>
      </c>
      <c r="AA34" s="26">
        <f>SUM($Z$34:$Z$34)</f>
        <v>0</v>
      </c>
      <c r="AB34" s="26">
        <f>SUMIF($L$4:$AA$4,"SUBTOTAL",$L$34:$AA$34)</f>
        <v>0</v>
      </c>
    </row>
    <row r="35" spans="1:28" ht="11.25" customHeight="1" x14ac:dyDescent="0.3">
      <c r="A35" s="103" t="s">
        <v>33</v>
      </c>
      <c r="B35" s="103" t="s">
        <v>71</v>
      </c>
      <c r="C35" s="103" t="s">
        <v>25</v>
      </c>
      <c r="D35" s="103" t="s">
        <v>25</v>
      </c>
      <c r="E35" s="103" t="s">
        <v>25</v>
      </c>
      <c r="F35" s="103" t="s">
        <v>25</v>
      </c>
      <c r="G35" s="29" t="s">
        <v>73</v>
      </c>
      <c r="H35" s="29" t="s">
        <v>72</v>
      </c>
      <c r="I35" s="29">
        <f>'MERCADO TE'!$U$32</f>
        <v>0.86799999999999977</v>
      </c>
      <c r="J35" s="15"/>
      <c r="L35" s="26">
        <f>'TE BE'!$L$35*'TE BF'!$L$48</f>
        <v>0</v>
      </c>
      <c r="M35" s="26">
        <f>'TE BE'!$M$35*'TE BF'!$M$48</f>
        <v>0</v>
      </c>
      <c r="N35" s="26">
        <f>'TE BE'!$N$35*'TE BF'!$N$48</f>
        <v>0</v>
      </c>
      <c r="O35" s="26">
        <f>'TE BE'!$O$35*'TE BF'!$O$48</f>
        <v>0</v>
      </c>
      <c r="P35" s="26">
        <f>'TE BE'!$P$35*'TE BF'!$P$48</f>
        <v>0</v>
      </c>
      <c r="Q35" s="26">
        <f>SUM($L$35:$P$35)</f>
        <v>0</v>
      </c>
      <c r="R35" s="26">
        <f>'TE BE'!$R$35*'TE BF'!$R$48</f>
        <v>0</v>
      </c>
      <c r="S35" s="26">
        <f>SUM($R$35:$R$35)</f>
        <v>0</v>
      </c>
      <c r="T35" s="26">
        <f>'TE BE'!$T$35*'TE BF'!$T$48</f>
        <v>0</v>
      </c>
      <c r="U35" s="26">
        <f>'TE BE'!$U$35*'TE BF'!$U$48</f>
        <v>0</v>
      </c>
      <c r="V35" s="26">
        <f>'TE BE'!$V$35*'TE BF'!$V$48</f>
        <v>0</v>
      </c>
      <c r="W35" s="26">
        <f>SUM($T$35:$V$35)</f>
        <v>0</v>
      </c>
      <c r="X35" s="26">
        <f>'TE BE'!$AB$35*'TE BF'!$X$48</f>
        <v>0</v>
      </c>
      <c r="Y35" s="26">
        <f>SUM($X$35:$X$35)</f>
        <v>0</v>
      </c>
      <c r="Z35" s="26">
        <f>'TE BE'!$Z$35*'TE BF'!$Z$48</f>
        <v>0</v>
      </c>
      <c r="AA35" s="26">
        <f>SUM($Z$35:$Z$35)</f>
        <v>0</v>
      </c>
      <c r="AB35" s="26">
        <f>SUMIF($L$4:$AA$4,"SUBTOTAL",$L$35:$AA$35)</f>
        <v>0</v>
      </c>
    </row>
    <row r="36" spans="1:28" ht="11.25" customHeight="1" x14ac:dyDescent="0.3">
      <c r="A36" s="103"/>
      <c r="B36" s="103"/>
      <c r="C36" s="103"/>
      <c r="D36" s="103"/>
      <c r="E36" s="103"/>
      <c r="F36" s="103"/>
      <c r="G36" s="29" t="s">
        <v>85</v>
      </c>
      <c r="H36" s="29" t="s">
        <v>72</v>
      </c>
      <c r="I36" s="29">
        <f>'MERCADO TE'!$U$33</f>
        <v>0.57500000000000007</v>
      </c>
      <c r="J36" s="15"/>
      <c r="L36" s="26">
        <f>'TE BE'!$L$36*'TE BF'!$L$48</f>
        <v>0</v>
      </c>
      <c r="M36" s="26">
        <f>'TE BE'!$M$36*'TE BF'!$M$48</f>
        <v>0</v>
      </c>
      <c r="N36" s="26">
        <f>'TE BE'!$N$36*'TE BF'!$N$48</f>
        <v>0</v>
      </c>
      <c r="O36" s="26">
        <f>'TE BE'!$O$36*'TE BF'!$O$48</f>
        <v>0</v>
      </c>
      <c r="P36" s="26">
        <f>'TE BE'!$P$36*'TE BF'!$P$48</f>
        <v>0</v>
      </c>
      <c r="Q36" s="26">
        <f>SUM($L$36:$P$36)</f>
        <v>0</v>
      </c>
      <c r="R36" s="26">
        <f>'TE BE'!$R$36*'TE BF'!$R$48</f>
        <v>0</v>
      </c>
      <c r="S36" s="26">
        <f>SUM($R$36:$R$36)</f>
        <v>0</v>
      </c>
      <c r="T36" s="26">
        <f>'TE BE'!$T$36*'TE BF'!$T$48</f>
        <v>0</v>
      </c>
      <c r="U36" s="26">
        <f>'TE BE'!$U$36*'TE BF'!$U$48</f>
        <v>0</v>
      </c>
      <c r="V36" s="26">
        <f>'TE BE'!$V$36*'TE BF'!$V$48</f>
        <v>0</v>
      </c>
      <c r="W36" s="26">
        <f>SUM($T$36:$V$36)</f>
        <v>0</v>
      </c>
      <c r="X36" s="26">
        <f>'TE BE'!$AB$36*'TE BF'!$X$48</f>
        <v>0</v>
      </c>
      <c r="Y36" s="26">
        <f>SUM($X$36:$X$36)</f>
        <v>0</v>
      </c>
      <c r="Z36" s="26">
        <f>'TE BE'!$Z$36*'TE BF'!$Z$48</f>
        <v>0</v>
      </c>
      <c r="AA36" s="26">
        <f>SUM($Z$36:$Z$36)</f>
        <v>0</v>
      </c>
      <c r="AB36" s="26">
        <f>SUMIF($L$4:$AA$4,"SUBTOTAL",$L$36:$AA$36)</f>
        <v>0</v>
      </c>
    </row>
    <row r="37" spans="1:28" ht="11.25" customHeight="1" x14ac:dyDescent="0.3">
      <c r="A37" s="103"/>
      <c r="B37" s="103"/>
      <c r="C37" s="103"/>
      <c r="D37" s="103"/>
      <c r="E37" s="103"/>
      <c r="F37" s="103"/>
      <c r="G37" s="29" t="s">
        <v>74</v>
      </c>
      <c r="H37" s="29" t="s">
        <v>72</v>
      </c>
      <c r="I37" s="29">
        <f>'MERCADO TE'!$U$34</f>
        <v>9.5989999999999984</v>
      </c>
      <c r="J37" s="15"/>
      <c r="L37" s="26">
        <f>'TE BE'!$L$37*'TE BF'!$L$48</f>
        <v>0</v>
      </c>
      <c r="M37" s="26">
        <f>'TE BE'!$M$37*'TE BF'!$M$48</f>
        <v>0</v>
      </c>
      <c r="N37" s="26">
        <f>'TE BE'!$N$37*'TE BF'!$N$48</f>
        <v>0</v>
      </c>
      <c r="O37" s="26">
        <f>'TE BE'!$O$37*'TE BF'!$O$48</f>
        <v>0</v>
      </c>
      <c r="P37" s="26">
        <f>'TE BE'!$P$37*'TE BF'!$P$48</f>
        <v>0</v>
      </c>
      <c r="Q37" s="26">
        <f>SUM($L$37:$P$37)</f>
        <v>0</v>
      </c>
      <c r="R37" s="26">
        <f>'TE BE'!$R$37*'TE BF'!$R$48</f>
        <v>0</v>
      </c>
      <c r="S37" s="26">
        <f>SUM($R$37:$R$37)</f>
        <v>0</v>
      </c>
      <c r="T37" s="26">
        <f>'TE BE'!$T$37*'TE BF'!$T$48</f>
        <v>0</v>
      </c>
      <c r="U37" s="26">
        <f>'TE BE'!$U$37*'TE BF'!$U$48</f>
        <v>0</v>
      </c>
      <c r="V37" s="26">
        <f>'TE BE'!$V$37*'TE BF'!$V$48</f>
        <v>0</v>
      </c>
      <c r="W37" s="26">
        <f>SUM($T$37:$V$37)</f>
        <v>0</v>
      </c>
      <c r="X37" s="26">
        <f>'TE BE'!$AB$37*'TE BF'!$X$48</f>
        <v>0</v>
      </c>
      <c r="Y37" s="26">
        <f>SUM($X$37:$X$37)</f>
        <v>0</v>
      </c>
      <c r="Z37" s="26">
        <f>'TE BE'!$Z$37*'TE BF'!$Z$48</f>
        <v>0</v>
      </c>
      <c r="AA37" s="26">
        <f>SUM($Z$37:$Z$37)</f>
        <v>0</v>
      </c>
      <c r="AB37" s="26">
        <f>SUMIF($L$4:$AA$4,"SUBTOTAL",$L$37:$AA$37)</f>
        <v>0</v>
      </c>
    </row>
    <row r="38" spans="1:28" ht="11.25" customHeight="1" x14ac:dyDescent="0.3">
      <c r="A38" s="103"/>
      <c r="B38" s="28" t="s">
        <v>86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79</v>
      </c>
      <c r="H38" s="29" t="s">
        <v>72</v>
      </c>
      <c r="I38" s="29">
        <f>'MERCADO TE'!$U$35</f>
        <v>3233.996000000001</v>
      </c>
      <c r="J38" s="15"/>
      <c r="L38" s="26">
        <f>'TE BE'!$L$38*'TE BF'!$L$48</f>
        <v>0</v>
      </c>
      <c r="M38" s="26">
        <f>'TE BE'!$M$38*'TE BF'!$M$48</f>
        <v>0</v>
      </c>
      <c r="N38" s="26">
        <f>'TE BE'!$N$38*'TE BF'!$N$48</f>
        <v>0</v>
      </c>
      <c r="O38" s="26">
        <f>'TE BE'!$O$38*'TE BF'!$O$48</f>
        <v>0</v>
      </c>
      <c r="P38" s="26">
        <f>'TE BE'!$P$38*'TE BF'!$P$48</f>
        <v>0</v>
      </c>
      <c r="Q38" s="26">
        <f>SUM($L$38:$P$38)</f>
        <v>0</v>
      </c>
      <c r="R38" s="26">
        <f>'TE BE'!$R$38*'TE BF'!$R$48</f>
        <v>0</v>
      </c>
      <c r="S38" s="26">
        <f>SUM($R$38:$R$38)</f>
        <v>0</v>
      </c>
      <c r="T38" s="26">
        <f>'TE BE'!$T$38*'TE BF'!$T$48</f>
        <v>0</v>
      </c>
      <c r="U38" s="26">
        <f>'TE BE'!$U$38*'TE BF'!$U$48</f>
        <v>0</v>
      </c>
      <c r="V38" s="26">
        <f>'TE BE'!$V$38*'TE BF'!$V$48</f>
        <v>0</v>
      </c>
      <c r="W38" s="26">
        <f>SUM($T$38:$V$38)</f>
        <v>0</v>
      </c>
      <c r="X38" s="26">
        <f>'TE BE'!$AB$38*'TE BF'!$X$48</f>
        <v>0</v>
      </c>
      <c r="Y38" s="26">
        <f>SUM($X$38:$X$38)</f>
        <v>0</v>
      </c>
      <c r="Z38" s="26">
        <f>'TE BE'!$Z$38*'TE BF'!$Z$48</f>
        <v>0</v>
      </c>
      <c r="AA38" s="26">
        <f>SUM($Z$38:$Z$38)</f>
        <v>0</v>
      </c>
      <c r="AB38" s="26">
        <f>SUMIF($L$4:$AA$4,"SUBTOTAL",$L$38:$AA$38)</f>
        <v>0</v>
      </c>
    </row>
    <row r="39" spans="1:28" ht="11.25" customHeight="1" x14ac:dyDescent="0.3">
      <c r="A39" s="103"/>
      <c r="B39" s="28" t="s">
        <v>87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79</v>
      </c>
      <c r="H39" s="29" t="s">
        <v>72</v>
      </c>
      <c r="I39" s="29">
        <f>'MERCADO TE'!$U$36</f>
        <v>0</v>
      </c>
      <c r="J39" s="15"/>
      <c r="L39" s="26">
        <f>'TE BE'!$L$39*'TE BF'!$L$48</f>
        <v>0</v>
      </c>
      <c r="M39" s="26">
        <f>'TE BE'!$M$39*'TE BF'!$M$48</f>
        <v>0</v>
      </c>
      <c r="N39" s="26">
        <f>'TE BE'!$N$39*'TE BF'!$N$48</f>
        <v>0</v>
      </c>
      <c r="O39" s="26">
        <f>'TE BE'!$O$39*'TE BF'!$O$48</f>
        <v>0</v>
      </c>
      <c r="P39" s="26">
        <f>'TE BE'!$P$39*'TE BF'!$P$48</f>
        <v>0</v>
      </c>
      <c r="Q39" s="26">
        <f>SUM($L$39:$P$39)</f>
        <v>0</v>
      </c>
      <c r="R39" s="26">
        <f>'TE BE'!$R$39*'TE BF'!$R$48</f>
        <v>0</v>
      </c>
      <c r="S39" s="26">
        <f>SUM($R$39:$R$39)</f>
        <v>0</v>
      </c>
      <c r="T39" s="26">
        <f>'TE BE'!$T$39*'TE BF'!$T$48</f>
        <v>0</v>
      </c>
      <c r="U39" s="26">
        <f>'TE BE'!$U$39*'TE BF'!$U$48</f>
        <v>0</v>
      </c>
      <c r="V39" s="26">
        <f>'TE BE'!$V$39*'TE BF'!$V$48</f>
        <v>0</v>
      </c>
      <c r="W39" s="26">
        <f>SUM($T$39:$V$39)</f>
        <v>0</v>
      </c>
      <c r="X39" s="26">
        <f>'TE BE'!$AB$39*'TE BF'!$X$48</f>
        <v>0</v>
      </c>
      <c r="Y39" s="26">
        <f>SUM($X$39:$X$39)</f>
        <v>0</v>
      </c>
      <c r="Z39" s="26">
        <f>'TE BE'!$Z$39*'TE BF'!$Z$48</f>
        <v>0</v>
      </c>
      <c r="AA39" s="26">
        <f>SUM($Z$39:$Z$39)</f>
        <v>0</v>
      </c>
      <c r="AB39" s="26">
        <f>SUMIF($L$4:$AA$4,"SUBTOTAL",$L$39:$AA$39)</f>
        <v>0</v>
      </c>
    </row>
    <row r="40" spans="1:28" ht="11.25" customHeight="1" x14ac:dyDescent="0.3">
      <c r="A40" s="103" t="s">
        <v>45</v>
      </c>
      <c r="B40" s="103" t="s">
        <v>86</v>
      </c>
      <c r="C40" s="103" t="s">
        <v>46</v>
      </c>
      <c r="D40" s="28" t="s">
        <v>47</v>
      </c>
      <c r="E40" s="28" t="s">
        <v>25</v>
      </c>
      <c r="F40" s="28" t="s">
        <v>25</v>
      </c>
      <c r="G40" s="29" t="s">
        <v>79</v>
      </c>
      <c r="H40" s="29" t="s">
        <v>72</v>
      </c>
      <c r="I40" s="29">
        <f>'MERCADO TE'!$U$37</f>
        <v>1210.0279999999998</v>
      </c>
      <c r="J40" s="15"/>
      <c r="L40" s="26">
        <f>'TE BE'!$L$40*'TE BF'!$L$48</f>
        <v>0</v>
      </c>
      <c r="M40" s="26">
        <f>'TE BE'!$M$40*'TE BF'!$M$48</f>
        <v>0</v>
      </c>
      <c r="N40" s="26">
        <f>'TE BE'!$N$40*'TE BF'!$N$48</f>
        <v>0</v>
      </c>
      <c r="O40" s="26">
        <f>'TE BE'!$O$40*'TE BF'!$O$48</f>
        <v>0</v>
      </c>
      <c r="P40" s="26">
        <f>'TE BE'!$P$40*'TE BF'!$P$48</f>
        <v>0</v>
      </c>
      <c r="Q40" s="26">
        <f>SUM($L$40:$P$40)</f>
        <v>0</v>
      </c>
      <c r="R40" s="26">
        <f>'TE BE'!$R$40*'TE BF'!$R$48</f>
        <v>0</v>
      </c>
      <c r="S40" s="26">
        <f>SUM($R$40:$R$40)</f>
        <v>0</v>
      </c>
      <c r="T40" s="26">
        <f>'TE BE'!$T$40*'TE BF'!$T$48</f>
        <v>0</v>
      </c>
      <c r="U40" s="26">
        <f>'TE BE'!$U$40*'TE BF'!$U$48</f>
        <v>0</v>
      </c>
      <c r="V40" s="26">
        <f>'TE BE'!$V$40*'TE BF'!$V$48</f>
        <v>0</v>
      </c>
      <c r="W40" s="26">
        <f>SUM($T$40:$V$40)</f>
        <v>0</v>
      </c>
      <c r="X40" s="26">
        <f>'TE BE'!$AB$40*'TE BF'!$X$48</f>
        <v>0</v>
      </c>
      <c r="Y40" s="26">
        <f>SUM($X$40:$X$40)</f>
        <v>0</v>
      </c>
      <c r="Z40" s="26">
        <f>'TE BE'!$Z$40*'TE BF'!$Z$48</f>
        <v>0</v>
      </c>
      <c r="AA40" s="26">
        <f>SUM($Z$40:$Z$40)</f>
        <v>0</v>
      </c>
      <c r="AB40" s="26">
        <f>SUMIF($L$4:$AA$4,"SUBTOTAL",$L$40:$AA$40)</f>
        <v>0</v>
      </c>
    </row>
    <row r="41" spans="1:28" ht="11.25" customHeight="1" x14ac:dyDescent="0.3">
      <c r="A41" s="103"/>
      <c r="B41" s="103"/>
      <c r="C41" s="103"/>
      <c r="D41" s="29" t="s">
        <v>91</v>
      </c>
      <c r="E41" s="29" t="s">
        <v>25</v>
      </c>
      <c r="F41" s="29" t="s">
        <v>25</v>
      </c>
      <c r="G41" s="29" t="s">
        <v>79</v>
      </c>
      <c r="H41" s="29" t="s">
        <v>72</v>
      </c>
      <c r="I41" s="29">
        <f>'MERCADO TE'!$U$38</f>
        <v>0</v>
      </c>
      <c r="J41" s="15"/>
      <c r="L41" s="26">
        <f>'TE BE'!$L$41*'TE BF'!$L$48</f>
        <v>0</v>
      </c>
      <c r="M41" s="26">
        <f>'TE BE'!$M$41*'TE BF'!$M$48</f>
        <v>0</v>
      </c>
      <c r="N41" s="26">
        <f>'TE BE'!$N$41*'TE BF'!$N$48</f>
        <v>0</v>
      </c>
      <c r="O41" s="26">
        <f>'TE BE'!$O$41*'TE BF'!$O$48</f>
        <v>0</v>
      </c>
      <c r="P41" s="26">
        <f>'TE BE'!$P$41*'TE BF'!$P$48</f>
        <v>0</v>
      </c>
      <c r="Q41" s="26">
        <f>SUM($L$41:$P$41)</f>
        <v>0</v>
      </c>
      <c r="R41" s="26">
        <f>'TE BE'!$R$41*'TE BF'!$R$48</f>
        <v>0</v>
      </c>
      <c r="S41" s="26">
        <f>SUM($R$41:$R$41)</f>
        <v>0</v>
      </c>
      <c r="T41" s="26">
        <f>'TE BE'!$T$41*'TE BF'!$T$48</f>
        <v>0</v>
      </c>
      <c r="U41" s="26">
        <f>'TE BE'!$U$41*'TE BF'!$U$48</f>
        <v>0</v>
      </c>
      <c r="V41" s="26">
        <f>'TE BE'!$V$41*'TE BF'!$V$48</f>
        <v>0</v>
      </c>
      <c r="W41" s="26">
        <f>SUM($T$41:$V$41)</f>
        <v>0</v>
      </c>
      <c r="X41" s="26">
        <f>'TE BE'!$AB$41*'TE BF'!$X$48</f>
        <v>0</v>
      </c>
      <c r="Y41" s="26">
        <f>SUM($X$41:$X$41)</f>
        <v>0</v>
      </c>
      <c r="Z41" s="26">
        <f>'TE BE'!$Z$41*'TE BF'!$Z$48</f>
        <v>0</v>
      </c>
      <c r="AA41" s="26">
        <f>SUM($Z$41:$Z$41)</f>
        <v>0</v>
      </c>
      <c r="AB41" s="26">
        <f>SUMIF($L$4:$AA$4,"SUBTOTAL",$L$41:$AA$41)</f>
        <v>0</v>
      </c>
    </row>
    <row r="43" spans="1:28" ht="11.25" customHeight="1" x14ac:dyDescent="0.3">
      <c r="K43" s="31" t="s">
        <v>546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0</v>
      </c>
      <c r="S43" s="26">
        <f t="shared" si="0"/>
        <v>0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0</v>
      </c>
    </row>
    <row r="44" spans="1:28" ht="11.25" customHeight="1" x14ac:dyDescent="0.3">
      <c r="K44" s="31" t="s">
        <v>465</v>
      </c>
      <c r="L44" s="26">
        <f>CUSTOS!$D$30</f>
        <v>0</v>
      </c>
      <c r="M44" s="26">
        <f>CUSTOS!$D$31</f>
        <v>1190477.8099999998</v>
      </c>
      <c r="N44" s="26">
        <f>CUSTOS!$D$32</f>
        <v>0</v>
      </c>
      <c r="O44" s="26">
        <f>CUSTOS!$D$33</f>
        <v>0</v>
      </c>
      <c r="P44" s="26">
        <f>CUSTOS!$D$34</f>
        <v>-564354.49</v>
      </c>
      <c r="Q44" s="26">
        <f>CUSTOS!$D$35</f>
        <v>626123.31999999983</v>
      </c>
      <c r="R44" s="26">
        <f>CUSTOS!$D$36</f>
        <v>6650911.5490313908</v>
      </c>
      <c r="S44" s="26">
        <f>CUSTOS!$D$37</f>
        <v>6650911.5490313908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268778.42258875689</v>
      </c>
      <c r="AA44" s="26">
        <f>CUSTOS!$D$45</f>
        <v>268778.42258875689</v>
      </c>
      <c r="AB44" s="26">
        <f>CUSTOS!$D$46</f>
        <v>7545813.2916201474</v>
      </c>
    </row>
    <row r="45" spans="1:28" ht="11.25" customHeight="1" x14ac:dyDescent="0.3">
      <c r="K45" s="31" t="s">
        <v>466</v>
      </c>
      <c r="L45" s="26">
        <f>CUSTOS!$E$30</f>
        <v>0</v>
      </c>
      <c r="M45" s="26">
        <f>CUSTOS!$E$31</f>
        <v>140497.53145800333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140497.53145800333</v>
      </c>
      <c r="R45" s="26">
        <f>CUSTOS!$E$36</f>
        <v>95226.414922554279</v>
      </c>
      <c r="S45" s="26">
        <f>CUSTOS!$E$37</f>
        <v>95226.414922554279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0</v>
      </c>
      <c r="Y45" s="26">
        <f>CUSTOS!$E$43</f>
        <v>0</v>
      </c>
      <c r="Z45" s="26">
        <f>CUSTOS!$E$44</f>
        <v>3848.3154381137597</v>
      </c>
      <c r="AA45" s="26">
        <f>CUSTOS!$E$45</f>
        <v>3848.3154381137597</v>
      </c>
      <c r="AB45" s="26">
        <f>CUSTOS!$E$46</f>
        <v>239572.26181867137</v>
      </c>
    </row>
    <row r="46" spans="1:28" ht="11.25" customHeight="1" x14ac:dyDescent="0.3">
      <c r="K46" s="31" t="s">
        <v>467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3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12" priority="33" operator="notEqual">
      <formula>$L$46</formula>
    </cfRule>
    <cfRule type="cellIs" dxfId="611" priority="34" operator="equal">
      <formula>$L$46</formula>
    </cfRule>
  </conditionalFormatting>
  <conditionalFormatting sqref="M43">
    <cfRule type="cellIs" dxfId="610" priority="31" operator="notEqual">
      <formula>$M$46</formula>
    </cfRule>
    <cfRule type="cellIs" dxfId="609" priority="32" operator="equal">
      <formula>$M$46</formula>
    </cfRule>
  </conditionalFormatting>
  <conditionalFormatting sqref="N43">
    <cfRule type="cellIs" dxfId="608" priority="29" operator="notEqual">
      <formula>$N$46</formula>
    </cfRule>
    <cfRule type="cellIs" dxfId="607" priority="30" operator="equal">
      <formula>$N$46</formula>
    </cfRule>
  </conditionalFormatting>
  <conditionalFormatting sqref="O43">
    <cfRule type="cellIs" dxfId="606" priority="27" operator="notEqual">
      <formula>$O$46</formula>
    </cfRule>
    <cfRule type="cellIs" dxfId="605" priority="28" operator="equal">
      <formula>$O$46</formula>
    </cfRule>
  </conditionalFormatting>
  <conditionalFormatting sqref="P43">
    <cfRule type="cellIs" dxfId="604" priority="25" operator="notEqual">
      <formula>$P$46</formula>
    </cfRule>
    <cfRule type="cellIs" dxfId="603" priority="26" operator="equal">
      <formula>$P$46</formula>
    </cfRule>
  </conditionalFormatting>
  <conditionalFormatting sqref="Q43">
    <cfRule type="cellIs" dxfId="602" priority="23" operator="notEqual">
      <formula>$Q$46</formula>
    </cfRule>
    <cfRule type="cellIs" dxfId="601" priority="24" operator="equal">
      <formula>$Q$46</formula>
    </cfRule>
  </conditionalFormatting>
  <conditionalFormatting sqref="R43">
    <cfRule type="cellIs" dxfId="600" priority="21" operator="notEqual">
      <formula>$R$46</formula>
    </cfRule>
    <cfRule type="cellIs" dxfId="599" priority="22" operator="equal">
      <formula>$R$46</formula>
    </cfRule>
  </conditionalFormatting>
  <conditionalFormatting sqref="S43">
    <cfRule type="cellIs" dxfId="598" priority="19" operator="notEqual">
      <formula>$S$46</formula>
    </cfRule>
    <cfRule type="cellIs" dxfId="597" priority="20" operator="equal">
      <formula>$S$46</formula>
    </cfRule>
  </conditionalFormatting>
  <conditionalFormatting sqref="T43">
    <cfRule type="cellIs" dxfId="596" priority="17" operator="notEqual">
      <formula>$T$46</formula>
    </cfRule>
    <cfRule type="cellIs" dxfId="595" priority="18" operator="equal">
      <formula>$T$46</formula>
    </cfRule>
  </conditionalFormatting>
  <conditionalFormatting sqref="U43">
    <cfRule type="cellIs" dxfId="594" priority="15" operator="notEqual">
      <formula>$U$46</formula>
    </cfRule>
    <cfRule type="cellIs" dxfId="593" priority="16" operator="equal">
      <formula>$U$46</formula>
    </cfRule>
  </conditionalFormatting>
  <conditionalFormatting sqref="V43">
    <cfRule type="cellIs" dxfId="592" priority="13" operator="notEqual">
      <formula>$V$46</formula>
    </cfRule>
    <cfRule type="cellIs" dxfId="591" priority="14" operator="equal">
      <formula>$V$46</formula>
    </cfRule>
  </conditionalFormatting>
  <conditionalFormatting sqref="W43">
    <cfRule type="cellIs" dxfId="590" priority="11" operator="notEqual">
      <formula>$W$46</formula>
    </cfRule>
    <cfRule type="cellIs" dxfId="589" priority="12" operator="equal">
      <formula>$W$46</formula>
    </cfRule>
  </conditionalFormatting>
  <conditionalFormatting sqref="X43">
    <cfRule type="cellIs" dxfId="588" priority="9" operator="notEqual">
      <formula>$X$46</formula>
    </cfRule>
    <cfRule type="cellIs" dxfId="587" priority="10" operator="equal">
      <formula>$X$46</formula>
    </cfRule>
  </conditionalFormatting>
  <conditionalFormatting sqref="Y43">
    <cfRule type="cellIs" dxfId="586" priority="7" operator="notEqual">
      <formula>$Y$46</formula>
    </cfRule>
    <cfRule type="cellIs" dxfId="585" priority="8" operator="equal">
      <formula>$Y$46</formula>
    </cfRule>
  </conditionalFormatting>
  <conditionalFormatting sqref="Z43">
    <cfRule type="cellIs" dxfId="584" priority="5" operator="notEqual">
      <formula>$Z$46</formula>
    </cfRule>
    <cfRule type="cellIs" dxfId="583" priority="6" operator="equal">
      <formula>$Z$46</formula>
    </cfRule>
  </conditionalFormatting>
  <conditionalFormatting sqref="AA43">
    <cfRule type="cellIs" dxfId="582" priority="3" operator="notEqual">
      <formula>$AA$46</formula>
    </cfRule>
    <cfRule type="cellIs" dxfId="581" priority="4" operator="equal">
      <formula>$AA$46</formula>
    </cfRule>
  </conditionalFormatting>
  <conditionalFormatting sqref="AB43">
    <cfRule type="cellIs" dxfId="580" priority="1" operator="notEqual">
      <formula>$AB$46</formula>
    </cfRule>
    <cfRule type="cellIs" dxfId="57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4723B-4F62-41A1-BBEE-421D92E1DC7B}">
  <dimension ref="A1:AV391"/>
  <sheetViews>
    <sheetView showGridLines="0" topLeftCell="AG1" workbookViewId="0">
      <selection activeCell="AS17" sqref="AS17"/>
    </sheetView>
  </sheetViews>
  <sheetFormatPr defaultColWidth="8.88671875" defaultRowHeight="11.25" customHeight="1" x14ac:dyDescent="0.3"/>
  <cols>
    <col min="1" max="1" width="19.109375" style="3" bestFit="1" customWidth="1"/>
    <col min="2" max="2" width="13.33203125" style="3" bestFit="1" customWidth="1"/>
    <col min="3" max="3" width="14.5546875" style="3" bestFit="1" customWidth="1"/>
    <col min="4" max="4" width="13.5546875" style="3" bestFit="1" customWidth="1"/>
    <col min="5" max="5" width="25.109375" style="3" bestFit="1" customWidth="1"/>
    <col min="6" max="6" width="12.88671875" style="3" bestFit="1" customWidth="1"/>
    <col min="7" max="7" width="11.33203125" style="3" bestFit="1" customWidth="1"/>
    <col min="8" max="8" width="10.33203125" style="3" bestFit="1" customWidth="1"/>
    <col min="9" max="9" width="12.109375" style="6" bestFit="1" customWidth="1"/>
    <col min="10" max="10" width="7" style="4" bestFit="1" customWidth="1"/>
    <col min="11" max="11" width="7.88671875" style="4" bestFit="1" customWidth="1"/>
    <col min="12" max="12" width="11.33203125" style="4" bestFit="1" customWidth="1"/>
    <col min="13" max="13" width="12.5546875" style="4" bestFit="1" customWidth="1"/>
    <col min="14" max="14" width="9.109375" style="4" bestFit="1" customWidth="1"/>
    <col min="15" max="15" width="10.44140625" style="4" bestFit="1" customWidth="1"/>
    <col min="16" max="16" width="7.6640625" style="4" bestFit="1" customWidth="1"/>
    <col min="17" max="17" width="11.109375" style="3" bestFit="1" customWidth="1"/>
    <col min="18" max="18" width="13.109375" style="3" bestFit="1" customWidth="1"/>
    <col min="19" max="19" width="23" style="3" bestFit="1" customWidth="1"/>
    <col min="20" max="20" width="24.44140625" style="3" bestFit="1" customWidth="1"/>
    <col min="21" max="21" width="22.33203125" style="3" bestFit="1" customWidth="1"/>
    <col min="22" max="22" width="15.88671875" style="3" bestFit="1" customWidth="1"/>
    <col min="23" max="23" width="17.33203125" style="3" bestFit="1" customWidth="1"/>
    <col min="24" max="24" width="15.109375" style="3" bestFit="1" customWidth="1"/>
    <col min="25" max="25" width="20.88671875" style="3" bestFit="1" customWidth="1"/>
    <col min="26" max="26" width="22.44140625" style="3" bestFit="1" customWidth="1"/>
    <col min="27" max="27" width="20.109375" style="3" bestFit="1" customWidth="1"/>
    <col min="28" max="28" width="23.33203125" style="3" bestFit="1" customWidth="1"/>
    <col min="29" max="29" width="24.6640625" style="3" bestFit="1" customWidth="1"/>
    <col min="30" max="30" width="22.5546875" style="3" bestFit="1" customWidth="1"/>
    <col min="31" max="31" width="24.109375" style="3" bestFit="1" customWidth="1"/>
    <col min="32" max="32" width="25.5546875" style="3" bestFit="1" customWidth="1"/>
    <col min="33" max="33" width="23.44140625" style="3" bestFit="1" customWidth="1"/>
    <col min="34" max="34" width="8.88671875" style="3"/>
    <col min="35" max="35" width="9.33203125" style="3" bestFit="1" customWidth="1"/>
    <col min="36" max="36" width="14.5546875" style="3" bestFit="1" customWidth="1"/>
    <col min="37" max="37" width="15.44140625" style="3" bestFit="1" customWidth="1"/>
    <col min="38" max="38" width="9.33203125" style="3" bestFit="1" customWidth="1"/>
    <col min="39" max="39" width="8.88671875" style="3"/>
    <col min="40" max="40" width="9.33203125" style="3" bestFit="1" customWidth="1"/>
    <col min="41" max="41" width="12.33203125" style="3" bestFit="1" customWidth="1"/>
    <col min="42" max="42" width="13.33203125" style="3" bestFit="1" customWidth="1"/>
    <col min="43" max="43" width="9.33203125" style="3" bestFit="1" customWidth="1"/>
    <col min="44" max="44" width="8.88671875" style="3"/>
    <col min="45" max="45" width="9.33203125" style="3" bestFit="1" customWidth="1"/>
    <col min="46" max="46" width="10.88671875" style="3" bestFit="1" customWidth="1"/>
    <col min="47" max="47" width="11.33203125" style="3" bestFit="1" customWidth="1"/>
    <col min="48" max="48" width="9.33203125" style="3" bestFit="1" customWidth="1"/>
    <col min="49" max="16384" width="8.88671875" style="3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I1" s="40" t="s">
        <v>62</v>
      </c>
      <c r="AJ1" s="40" t="s">
        <v>600</v>
      </c>
      <c r="AK1" s="40" t="s">
        <v>601</v>
      </c>
      <c r="AL1" s="40" t="s">
        <v>602</v>
      </c>
      <c r="AN1" s="40" t="s">
        <v>62</v>
      </c>
      <c r="AO1" s="40" t="s">
        <v>603</v>
      </c>
      <c r="AP1" s="40" t="s">
        <v>604</v>
      </c>
      <c r="AQ1" s="40" t="s">
        <v>602</v>
      </c>
      <c r="AS1" s="40" t="s">
        <v>62</v>
      </c>
      <c r="AT1" s="40" t="s">
        <v>605</v>
      </c>
      <c r="AU1" s="40" t="s">
        <v>606</v>
      </c>
      <c r="AV1" s="40" t="s">
        <v>602</v>
      </c>
    </row>
    <row r="2" spans="1:48" ht="11.25" customHeight="1" x14ac:dyDescent="0.3">
      <c r="A2" s="3" t="s">
        <v>21</v>
      </c>
      <c r="B2" s="3" t="s">
        <v>35</v>
      </c>
      <c r="C2" s="3" t="s">
        <v>36</v>
      </c>
      <c r="D2" s="3" t="s">
        <v>39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44440</v>
      </c>
      <c r="J2" s="4">
        <v>0</v>
      </c>
      <c r="K2" s="4">
        <v>0</v>
      </c>
      <c r="L2" s="4">
        <v>25.719000000000001</v>
      </c>
      <c r="M2" s="4">
        <v>25.719000000000001</v>
      </c>
      <c r="N2" s="4">
        <v>25.719000000000001</v>
      </c>
      <c r="O2" s="4">
        <v>25.719000000000001</v>
      </c>
      <c r="P2" s="4">
        <v>0</v>
      </c>
      <c r="Q2" s="3" t="s">
        <v>26</v>
      </c>
      <c r="R2" s="3">
        <v>0</v>
      </c>
      <c r="S2" s="4">
        <v>0</v>
      </c>
      <c r="T2" s="4">
        <v>8</v>
      </c>
      <c r="U2" s="4">
        <v>51</v>
      </c>
      <c r="V2" s="4">
        <f>IF(ISERROR(VLOOKUP($S$2,'TAR FIN'!$A$1:$O$88,15,0)),0,VLOOKUP($S$2,'TAR FIN'!$A$1:$O$88,15,0))</f>
        <v>0</v>
      </c>
      <c r="W2" s="4">
        <f>IF(ISERROR(VLOOKUP($T$2,'TAR FIN'!$A$1:$O$88,15,0)),0,VLOOKUP($T$2,'TAR FIN'!$A$1:$O$88,15,0))</f>
        <v>61.71</v>
      </c>
      <c r="X2" s="4">
        <f>IF(ISERROR(VLOOKUP($U$2,'TAR FIN'!$A$1:$O$88,15,0)),0,VLOOKUP($U$2,'TAR FIN'!$A$1:$O$88,15,0))</f>
        <v>242.35</v>
      </c>
      <c r="Y2" s="4"/>
      <c r="Z2" s="4">
        <f ca="1">('TUSD BE'!$AM$12+'TUSD BF'!$AM$12+'TUSD CVA'!$AM$12)*1</f>
        <v>88.695192613955996</v>
      </c>
      <c r="AA2" s="4">
        <f>('TE BE'!$AB$6+'TE BF'!$AB$6+'TE CVA'!$AB$6)*1</f>
        <v>191.00751406315655</v>
      </c>
      <c r="AB2" s="4">
        <f>$K$2*$V$2</f>
        <v>0</v>
      </c>
      <c r="AC2" s="4">
        <f>$M$2*$W$2</f>
        <v>1587.11949</v>
      </c>
      <c r="AD2" s="4">
        <f>$O$2*$X$2</f>
        <v>6232.9996499999997</v>
      </c>
      <c r="AE2" s="4">
        <f>$K$2*$Y$2</f>
        <v>0</v>
      </c>
      <c r="AF2" s="4">
        <f ca="1">$M$2*$Z$2</f>
        <v>2281.1516588383342</v>
      </c>
      <c r="AG2" s="4">
        <f>$O$2*$AA$2</f>
        <v>4912.5222541903231</v>
      </c>
      <c r="AI2" s="41" t="s">
        <v>35</v>
      </c>
      <c r="AJ2" s="42">
        <f>SUMIF($B$2:$B$391,AI2,$AB$2:$AB$391)+SUMIF($B$2:$B$391,AI2,$AC$2:$AC$391)</f>
        <v>5413830.0646199994</v>
      </c>
      <c r="AK2" s="42">
        <f ca="1">SUMIF($B$2:$B$391,AI2,$AE$2:$AE$391)+SUMIF($B$2:$B$391,AI2,$AF$2:$AF$391)</f>
        <v>7764801.3098705355</v>
      </c>
      <c r="AL2" s="43">
        <f t="shared" ref="AL2:AL9" ca="1" si="0">IF(AJ2&lt;&gt;0,AK2/AJ2-1,0)</f>
        <v>0.43425287036887306</v>
      </c>
      <c r="AN2" s="41" t="s">
        <v>35</v>
      </c>
      <c r="AO2" s="42">
        <f>SUMIF($B$2:$B$391,AN2,$AD$2:$AD$391)</f>
        <v>6055036.2286</v>
      </c>
      <c r="AP2" s="42">
        <f>SUMIF($B$2:$B$391,AN2,$AG$2:$AG$391)</f>
        <v>4772260.8524334105</v>
      </c>
      <c r="AQ2" s="43">
        <f t="shared" ref="AQ2:AQ9" si="1">IF(AO2&lt;&gt;0,AP2/AO2-1,0)</f>
        <v>-0.21185263435875157</v>
      </c>
      <c r="AS2" s="41" t="s">
        <v>35</v>
      </c>
      <c r="AT2" s="42">
        <f>SUMIF($B$2:$B$391,AS2,$AB$2:$AB$391)+SUMIF($B$2:$B$391,AS2,$AC$2:$AC$391)+SUMIF($B$2:$B$391,AS2,$AD$2:$AD$391)</f>
        <v>11468866.293219998</v>
      </c>
      <c r="AU2" s="42">
        <f ca="1">SUMIF($B$2:$B$391,AS2,$AE$2:$AE$391)+SUMIF($B$2:$B$391,AS2,$AF$2:$AF$391)+SUMIF($B$2:$B$391,AS2,$AG$2:$AG$391)</f>
        <v>12537062.162303947</v>
      </c>
      <c r="AV2" s="43">
        <f t="shared" ref="AV2:AV9" ca="1" si="2">IF(AT2&lt;&gt;0,AU2/AT2-1,0)</f>
        <v>9.3138749879352112E-2</v>
      </c>
    </row>
    <row r="3" spans="1:48" ht="11.25" customHeight="1" x14ac:dyDescent="0.3">
      <c r="A3" s="3" t="s">
        <v>21</v>
      </c>
      <c r="B3" s="3" t="s">
        <v>35</v>
      </c>
      <c r="C3" s="3" t="s">
        <v>36</v>
      </c>
      <c r="D3" s="3" t="s">
        <v>39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44470</v>
      </c>
      <c r="J3" s="4">
        <v>0</v>
      </c>
      <c r="K3" s="4">
        <v>0</v>
      </c>
      <c r="L3" s="4">
        <v>26.542000000000002</v>
      </c>
      <c r="M3" s="4">
        <v>26.542000000000002</v>
      </c>
      <c r="N3" s="4">
        <v>26.542000000000002</v>
      </c>
      <c r="O3" s="4">
        <v>26.542000000000002</v>
      </c>
      <c r="P3" s="4">
        <v>0</v>
      </c>
      <c r="Q3" s="3" t="s">
        <v>26</v>
      </c>
      <c r="R3" s="3">
        <v>0</v>
      </c>
      <c r="S3" s="4">
        <v>0</v>
      </c>
      <c r="T3" s="4">
        <v>8</v>
      </c>
      <c r="U3" s="4">
        <v>51</v>
      </c>
      <c r="V3" s="4">
        <f>IF(ISERROR(VLOOKUP($S$3,'TAR FIN'!$A$1:$O$88,15,0)),0,VLOOKUP($S$3,'TAR FIN'!$A$1:$O$88,15,0))</f>
        <v>0</v>
      </c>
      <c r="W3" s="4">
        <f>IF(ISERROR(VLOOKUP($T$3,'TAR FIN'!$A$1:$O$88,15,0)),0,VLOOKUP($T$3,'TAR FIN'!$A$1:$O$88,15,0))</f>
        <v>61.71</v>
      </c>
      <c r="X3" s="4">
        <f>IF(ISERROR(VLOOKUP($U$3,'TAR FIN'!$A$1:$O$88,15,0)),0,VLOOKUP($U$3,'TAR FIN'!$A$1:$O$88,15,0))</f>
        <v>242.35</v>
      </c>
      <c r="Y3" s="4"/>
      <c r="Z3" s="4">
        <f ca="1">('TUSD BE'!$AM$12+'TUSD BF'!$AM$12+'TUSD CVA'!$AM$12)*1</f>
        <v>88.695192613955996</v>
      </c>
      <c r="AA3" s="4">
        <f>('TE BE'!$AB$6+'TE BF'!$AB$6+'TE CVA'!$AB$6)*1</f>
        <v>191.00751406315655</v>
      </c>
      <c r="AB3" s="4">
        <f>$K$3*$V$3</f>
        <v>0</v>
      </c>
      <c r="AC3" s="4">
        <f>$M$3*$W$3</f>
        <v>1637.9068200000002</v>
      </c>
      <c r="AD3" s="4">
        <f>$O$3*$X$3</f>
        <v>6432.4537</v>
      </c>
      <c r="AE3" s="4">
        <f>$K$3*$Y$3</f>
        <v>0</v>
      </c>
      <c r="AF3" s="4">
        <f ca="1">$M$3*$Z$3</f>
        <v>2354.1478023596201</v>
      </c>
      <c r="AG3" s="4">
        <f>$O$3*$AA$3</f>
        <v>5069.7214382643015</v>
      </c>
      <c r="AI3" s="41" t="s">
        <v>22</v>
      </c>
      <c r="AJ3" s="42">
        <f>SUMIF($B$2:$B$391,AI3,$AB$2:$AB$391)+SUMIF($B$2:$B$391,AI3,$AC$2:$AC$391)</f>
        <v>1884369.2198900008</v>
      </c>
      <c r="AK3" s="42">
        <f ca="1">SUMIF($B$2:$B$391,AI3,$AE$2:$AE$391)+SUMIF($B$2:$B$391,AI3,$AF$2:$AF$391)</f>
        <v>2756625.9188178671</v>
      </c>
      <c r="AL3" s="43">
        <f t="shared" ca="1" si="0"/>
        <v>0.46289054699098942</v>
      </c>
      <c r="AN3" s="41" t="s">
        <v>22</v>
      </c>
      <c r="AO3" s="42">
        <f>SUMIF($B$2:$B$391,AN3,$AD$2:$AD$391)</f>
        <v>1508033.7190599993</v>
      </c>
      <c r="AP3" s="42">
        <f>SUMIF($B$2:$B$391,AN3,$AG$2:$AG$391)</f>
        <v>1188553.5487735516</v>
      </c>
      <c r="AQ3" s="43">
        <f t="shared" si="1"/>
        <v>-0.21185213980864359</v>
      </c>
      <c r="AS3" s="41" t="s">
        <v>22</v>
      </c>
      <c r="AT3" s="42">
        <f>SUMIF($B$2:$B$391,AS3,$AB$2:$AB$391)+SUMIF($B$2:$B$391,AS3,$AC$2:$AC$391)+SUMIF($B$2:$B$391,AS3,$AD$2:$AD$391)</f>
        <v>3392402.9389500003</v>
      </c>
      <c r="AU3" s="42">
        <f ca="1">SUMIF($B$2:$B$391,AS3,$AE$2:$AE$391)+SUMIF($B$2:$B$391,AS3,$AF$2:$AF$391)+SUMIF($B$2:$B$391,AS3,$AG$2:$AG$391)</f>
        <v>3945179.4675914189</v>
      </c>
      <c r="AV3" s="43">
        <f t="shared" ca="1" si="2"/>
        <v>0.16294542204721441</v>
      </c>
    </row>
    <row r="4" spans="1:48" ht="11.25" customHeight="1" x14ac:dyDescent="0.3">
      <c r="A4" s="3" t="s">
        <v>21</v>
      </c>
      <c r="B4" s="3" t="s">
        <v>35</v>
      </c>
      <c r="C4" s="3" t="s">
        <v>36</v>
      </c>
      <c r="D4" s="3" t="s">
        <v>39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44501</v>
      </c>
      <c r="J4" s="4">
        <v>0</v>
      </c>
      <c r="K4" s="4">
        <v>0</v>
      </c>
      <c r="L4" s="4">
        <v>28.847000000000001</v>
      </c>
      <c r="M4" s="4">
        <v>28.847000000000001</v>
      </c>
      <c r="N4" s="4">
        <v>28.847000000000001</v>
      </c>
      <c r="O4" s="4">
        <v>28.847000000000001</v>
      </c>
      <c r="P4" s="4">
        <v>0</v>
      </c>
      <c r="Q4" s="3" t="s">
        <v>26</v>
      </c>
      <c r="R4" s="3">
        <v>0</v>
      </c>
      <c r="S4" s="4">
        <v>0</v>
      </c>
      <c r="T4" s="4">
        <v>8</v>
      </c>
      <c r="U4" s="4">
        <v>51</v>
      </c>
      <c r="V4" s="4">
        <f>IF(ISERROR(VLOOKUP($S$4,'TAR FIN'!$A$1:$O$88,15,0)),0,VLOOKUP($S$4,'TAR FIN'!$A$1:$O$88,15,0))</f>
        <v>0</v>
      </c>
      <c r="W4" s="4">
        <f>IF(ISERROR(VLOOKUP($T$4,'TAR FIN'!$A$1:$O$88,15,0)),0,VLOOKUP($T$4,'TAR FIN'!$A$1:$O$88,15,0))</f>
        <v>61.71</v>
      </c>
      <c r="X4" s="4">
        <f>IF(ISERROR(VLOOKUP($U$4,'TAR FIN'!$A$1:$O$88,15,0)),0,VLOOKUP($U$4,'TAR FIN'!$A$1:$O$88,15,0))</f>
        <v>242.35</v>
      </c>
      <c r="Y4" s="4"/>
      <c r="Z4" s="4">
        <f ca="1">('TUSD BE'!$AM$12+'TUSD BF'!$AM$12+'TUSD CVA'!$AM$12)*1</f>
        <v>88.695192613955996</v>
      </c>
      <c r="AA4" s="4">
        <f>('TE BE'!$AB$6+'TE BF'!$AB$6+'TE CVA'!$AB$6)*1</f>
        <v>191.00751406315655</v>
      </c>
      <c r="AB4" s="4">
        <f>$K$4*$V$4</f>
        <v>0</v>
      </c>
      <c r="AC4" s="4">
        <f>$M$4*$W$4</f>
        <v>1780.1483700000001</v>
      </c>
      <c r="AD4" s="4">
        <f>$O$4*$X$4</f>
        <v>6991.0704500000002</v>
      </c>
      <c r="AE4" s="4">
        <f>$K$4*$Y$4</f>
        <v>0</v>
      </c>
      <c r="AF4" s="4">
        <f ca="1">$M$4*$Z$4</f>
        <v>2558.5902213347886</v>
      </c>
      <c r="AG4" s="4">
        <f>$O$4*$AA$4</f>
        <v>5509.9937581798777</v>
      </c>
      <c r="AI4" s="41" t="s">
        <v>42</v>
      </c>
      <c r="AJ4" s="42">
        <f>SUMIF($B$2:$B$391,AI4,$AB$2:$AB$391)+SUMIF($B$2:$B$391,AI4,$AC$2:$AC$391)</f>
        <v>1471383.1360600002</v>
      </c>
      <c r="AK4" s="42">
        <f ca="1">SUMIF($B$2:$B$391,AI4,$AE$2:$AE$391)+SUMIF($B$2:$B$391,AI4,$AF$2:$AF$391)</f>
        <v>2299717.1449312675</v>
      </c>
      <c r="AL4" s="43">
        <f t="shared" ca="1" si="0"/>
        <v>0.56296282631683603</v>
      </c>
      <c r="AN4" s="41" t="s">
        <v>42</v>
      </c>
      <c r="AO4" s="42">
        <f>SUMIF($B$2:$B$391,AN4,$AD$2:$AD$391)</f>
        <v>1164601.5269159998</v>
      </c>
      <c r="AP4" s="42">
        <f>SUMIF($B$2:$B$391,AN4,$AG$2:$AG$391)</f>
        <v>980450.9962890168</v>
      </c>
      <c r="AQ4" s="43">
        <f t="shared" si="1"/>
        <v>-0.15812320898688415</v>
      </c>
      <c r="AS4" s="41" t="s">
        <v>42</v>
      </c>
      <c r="AT4" s="42">
        <f>SUMIF($B$2:$B$391,AS4,$AB$2:$AB$391)+SUMIF($B$2:$B$391,AS4,$AC$2:$AC$391)+SUMIF($B$2:$B$391,AS4,$AD$2:$AD$391)</f>
        <v>2635984.662976</v>
      </c>
      <c r="AU4" s="42">
        <f ca="1">SUMIF($B$2:$B$391,AS4,$AE$2:$AE$391)+SUMIF($B$2:$B$391,AS4,$AF$2:$AF$391)+SUMIF($B$2:$B$391,AS4,$AG$2:$AG$391)</f>
        <v>3280168.1412202842</v>
      </c>
      <c r="AV4" s="43">
        <f t="shared" ca="1" si="2"/>
        <v>0.24438058661426632</v>
      </c>
    </row>
    <row r="5" spans="1:48" ht="11.25" customHeight="1" x14ac:dyDescent="0.3">
      <c r="A5" s="3" t="s">
        <v>21</v>
      </c>
      <c r="B5" s="3" t="s">
        <v>35</v>
      </c>
      <c r="C5" s="3" t="s">
        <v>36</v>
      </c>
      <c r="D5" s="3" t="s">
        <v>39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44531</v>
      </c>
      <c r="J5" s="4">
        <v>0</v>
      </c>
      <c r="K5" s="4">
        <v>0</v>
      </c>
      <c r="L5" s="4">
        <v>32.871000000000002</v>
      </c>
      <c r="M5" s="4">
        <v>32.871000000000002</v>
      </c>
      <c r="N5" s="4">
        <v>32.871000000000002</v>
      </c>
      <c r="O5" s="4">
        <v>32.871000000000002</v>
      </c>
      <c r="P5" s="4">
        <v>0</v>
      </c>
      <c r="Q5" s="3" t="s">
        <v>26</v>
      </c>
      <c r="R5" s="3">
        <v>0</v>
      </c>
      <c r="S5" s="4">
        <v>0</v>
      </c>
      <c r="T5" s="4">
        <v>8</v>
      </c>
      <c r="U5" s="4">
        <v>51</v>
      </c>
      <c r="V5" s="4">
        <f>IF(ISERROR(VLOOKUP($S$5,'TAR FIN'!$A$1:$O$88,15,0)),0,VLOOKUP($S$5,'TAR FIN'!$A$1:$O$88,15,0))</f>
        <v>0</v>
      </c>
      <c r="W5" s="4">
        <f>IF(ISERROR(VLOOKUP($T$5,'TAR FIN'!$A$1:$O$88,15,0)),0,VLOOKUP($T$5,'TAR FIN'!$A$1:$O$88,15,0))</f>
        <v>61.71</v>
      </c>
      <c r="X5" s="4">
        <f>IF(ISERROR(VLOOKUP($U$5,'TAR FIN'!$A$1:$O$88,15,0)),0,VLOOKUP($U$5,'TAR FIN'!$A$1:$O$88,15,0))</f>
        <v>242.35</v>
      </c>
      <c r="Y5" s="4"/>
      <c r="Z5" s="4">
        <f ca="1">('TUSD BE'!$AM$12+'TUSD BF'!$AM$12+'TUSD CVA'!$AM$12)*1</f>
        <v>88.695192613955996</v>
      </c>
      <c r="AA5" s="4">
        <f>('TE BE'!$AB$6+'TE BF'!$AB$6+'TE CVA'!$AB$6)*1</f>
        <v>191.00751406315655</v>
      </c>
      <c r="AB5" s="4">
        <f>$K$5*$V$5</f>
        <v>0</v>
      </c>
      <c r="AC5" s="4">
        <f>$M$5*$W$5</f>
        <v>2028.4694100000002</v>
      </c>
      <c r="AD5" s="4">
        <f>$O$5*$X$5</f>
        <v>7966.2868500000004</v>
      </c>
      <c r="AE5" s="4">
        <f>$K$5*$Y$5</f>
        <v>0</v>
      </c>
      <c r="AF5" s="4">
        <f ca="1">$M$5*$Z$5</f>
        <v>2915.4996764133475</v>
      </c>
      <c r="AG5" s="4">
        <f>$O$5*$AA$5</f>
        <v>6278.6079947700191</v>
      </c>
      <c r="AI5" s="41" t="s">
        <v>33</v>
      </c>
      <c r="AJ5" s="42">
        <f>SUMIF($B$2:$B$391,AI5,$AB$2:$AB$391)+SUMIF($B$2:$B$391,AI5,$AC$2:$AC$391)</f>
        <v>989189.524278</v>
      </c>
      <c r="AK5" s="42">
        <f ca="1">SUMIF($B$2:$B$391,AI5,$AE$2:$AE$391)+SUMIF($B$2:$B$391,AI5,$AF$2:$AF$391)</f>
        <v>1450581.6863747966</v>
      </c>
      <c r="AL5" s="43">
        <f t="shared" ca="1" si="0"/>
        <v>0.46643454138231233</v>
      </c>
      <c r="AN5" s="41" t="s">
        <v>33</v>
      </c>
      <c r="AO5" s="42">
        <f>SUMIF($B$2:$B$391,AN5,$AD$2:$AD$391)</f>
        <v>782989.03311999992</v>
      </c>
      <c r="AP5" s="42">
        <f>SUMIF($B$2:$B$391,AN5,$AG$2:$AG$391)</f>
        <v>618468.69259999669</v>
      </c>
      <c r="AQ5" s="43">
        <f t="shared" si="1"/>
        <v>-0.21011832038621803</v>
      </c>
      <c r="AS5" s="41" t="s">
        <v>33</v>
      </c>
      <c r="AT5" s="42">
        <f>SUMIF($B$2:$B$391,AS5,$AB$2:$AB$391)+SUMIF($B$2:$B$391,AS5,$AC$2:$AC$391)+SUMIF($B$2:$B$391,AS5,$AD$2:$AD$391)</f>
        <v>1772178.5573979998</v>
      </c>
      <c r="AU5" s="42">
        <f ca="1">SUMIF($B$2:$B$391,AS5,$AE$2:$AE$391)+SUMIF($B$2:$B$391,AS5,$AF$2:$AF$391)+SUMIF($B$2:$B$391,AS5,$AG$2:$AG$391)</f>
        <v>2069050.3789747932</v>
      </c>
      <c r="AV5" s="43">
        <f t="shared" ca="1" si="2"/>
        <v>0.16751800789908855</v>
      </c>
    </row>
    <row r="6" spans="1:48" ht="11.25" customHeight="1" x14ac:dyDescent="0.3">
      <c r="A6" s="3" t="s">
        <v>21</v>
      </c>
      <c r="B6" s="3" t="s">
        <v>35</v>
      </c>
      <c r="C6" s="3" t="s">
        <v>36</v>
      </c>
      <c r="D6" s="3" t="s">
        <v>39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44562</v>
      </c>
      <c r="J6" s="4">
        <v>0</v>
      </c>
      <c r="K6" s="4">
        <v>0</v>
      </c>
      <c r="L6" s="4">
        <v>35.694000000000003</v>
      </c>
      <c r="M6" s="4">
        <v>35.694000000000003</v>
      </c>
      <c r="N6" s="4">
        <v>35.694000000000003</v>
      </c>
      <c r="O6" s="4">
        <v>35.694000000000003</v>
      </c>
      <c r="P6" s="4">
        <v>0</v>
      </c>
      <c r="Q6" s="3" t="s">
        <v>26</v>
      </c>
      <c r="R6" s="3">
        <v>0</v>
      </c>
      <c r="S6" s="4">
        <v>0</v>
      </c>
      <c r="T6" s="4">
        <v>8</v>
      </c>
      <c r="U6" s="4">
        <v>51</v>
      </c>
      <c r="V6" s="4">
        <f>IF(ISERROR(VLOOKUP($S$6,'TAR FIN'!$A$1:$O$88,15,0)),0,VLOOKUP($S$6,'TAR FIN'!$A$1:$O$88,15,0))</f>
        <v>0</v>
      </c>
      <c r="W6" s="4">
        <f>IF(ISERROR(VLOOKUP($T$6,'TAR FIN'!$A$1:$O$88,15,0)),0,VLOOKUP($T$6,'TAR FIN'!$A$1:$O$88,15,0))</f>
        <v>61.71</v>
      </c>
      <c r="X6" s="4">
        <f>IF(ISERROR(VLOOKUP($U$6,'TAR FIN'!$A$1:$O$88,15,0)),0,VLOOKUP($U$6,'TAR FIN'!$A$1:$O$88,15,0))</f>
        <v>242.35</v>
      </c>
      <c r="Y6" s="4"/>
      <c r="Z6" s="4">
        <f ca="1">('TUSD BE'!$AM$12+'TUSD BF'!$AM$12+'TUSD CVA'!$AM$12)*1</f>
        <v>88.695192613955996</v>
      </c>
      <c r="AA6" s="4">
        <f>('TE BE'!$AB$6+'TE BF'!$AB$6+'TE CVA'!$AB$6)*1</f>
        <v>191.00751406315655</v>
      </c>
      <c r="AB6" s="4">
        <f>$K$6*$V$6</f>
        <v>0</v>
      </c>
      <c r="AC6" s="4">
        <f>$M$6*$W$6</f>
        <v>2202.6767400000003</v>
      </c>
      <c r="AD6" s="4">
        <f>$O$6*$X$6</f>
        <v>8650.4408999999996</v>
      </c>
      <c r="AE6" s="4">
        <f>$K$6*$Y$6</f>
        <v>0</v>
      </c>
      <c r="AF6" s="4">
        <f ca="1">$M$6*$Z$6</f>
        <v>3165.8862051625456</v>
      </c>
      <c r="AG6" s="4">
        <f>$O$6*$AA$6</f>
        <v>6817.8222069703106</v>
      </c>
      <c r="AI6" s="41" t="s">
        <v>45</v>
      </c>
      <c r="AJ6" s="42">
        <f>SUMIF($B$2:$B$391,AI6,$AB$2:$AB$391)+SUMIF($B$2:$B$391,AI6,$AC$2:$AC$391)</f>
        <v>203768.71520000001</v>
      </c>
      <c r="AK6" s="42">
        <f ca="1">SUMIF($B$2:$B$391,AI6,$AE$2:$AE$391)+SUMIF($B$2:$B$391,AI6,$AF$2:$AF$391)</f>
        <v>298165.29525465384</v>
      </c>
      <c r="AL6" s="43">
        <f t="shared" ca="1" si="0"/>
        <v>0.46325354685582187</v>
      </c>
      <c r="AN6" s="41" t="s">
        <v>45</v>
      </c>
      <c r="AO6" s="42">
        <f>SUMIF($B$2:$B$391,AN6,$AD$2:$AD$391)</f>
        <v>161284.63211999999</v>
      </c>
      <c r="AP6" s="42">
        <f>SUMIF($B$2:$B$391,AN6,$AG$2:$AG$391)</f>
        <v>127118.44212474726</v>
      </c>
      <c r="AQ6" s="43">
        <f t="shared" si="1"/>
        <v>-0.21183785179131132</v>
      </c>
      <c r="AS6" s="41" t="s">
        <v>45</v>
      </c>
      <c r="AT6" s="42">
        <f>SUMIF($B$2:$B$391,AS6,$AB$2:$AB$391)+SUMIF($B$2:$B$391,AS6,$AC$2:$AC$391)+SUMIF($B$2:$B$391,AS6,$AD$2:$AD$391)</f>
        <v>365053.34732</v>
      </c>
      <c r="AU6" s="42">
        <f ca="1">SUMIF($B$2:$B$391,AS6,$AE$2:$AE$391)+SUMIF($B$2:$B$391,AS6,$AF$2:$AF$391)+SUMIF($B$2:$B$391,AS6,$AG$2:$AG$391)</f>
        <v>425283.73737940111</v>
      </c>
      <c r="AV6" s="43">
        <f t="shared" ca="1" si="2"/>
        <v>0.16499065274041746</v>
      </c>
    </row>
    <row r="7" spans="1:48" ht="11.25" customHeight="1" x14ac:dyDescent="0.3">
      <c r="A7" s="3" t="s">
        <v>21</v>
      </c>
      <c r="B7" s="3" t="s">
        <v>35</v>
      </c>
      <c r="C7" s="3" t="s">
        <v>36</v>
      </c>
      <c r="D7" s="3" t="s">
        <v>39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44593</v>
      </c>
      <c r="J7" s="4">
        <v>0</v>
      </c>
      <c r="K7" s="4">
        <v>0</v>
      </c>
      <c r="L7" s="4">
        <v>31.585000000000001</v>
      </c>
      <c r="M7" s="4">
        <v>31.585000000000001</v>
      </c>
      <c r="N7" s="4">
        <v>31.585000000000001</v>
      </c>
      <c r="O7" s="4">
        <v>31.585000000000001</v>
      </c>
      <c r="P7" s="4">
        <v>0</v>
      </c>
      <c r="Q7" s="3" t="s">
        <v>26</v>
      </c>
      <c r="R7" s="3">
        <v>0</v>
      </c>
      <c r="S7" s="4">
        <v>0</v>
      </c>
      <c r="T7" s="4">
        <v>8</v>
      </c>
      <c r="U7" s="4">
        <v>51</v>
      </c>
      <c r="V7" s="4">
        <f>IF(ISERROR(VLOOKUP($S$7,'TAR FIN'!$A$1:$O$88,15,0)),0,VLOOKUP($S$7,'TAR FIN'!$A$1:$O$88,15,0))</f>
        <v>0</v>
      </c>
      <c r="W7" s="4">
        <f>IF(ISERROR(VLOOKUP($T$7,'TAR FIN'!$A$1:$O$88,15,0)),0,VLOOKUP($T$7,'TAR FIN'!$A$1:$O$88,15,0))</f>
        <v>61.71</v>
      </c>
      <c r="X7" s="4">
        <f>IF(ISERROR(VLOOKUP($U$7,'TAR FIN'!$A$1:$O$88,15,0)),0,VLOOKUP($U$7,'TAR FIN'!$A$1:$O$88,15,0))</f>
        <v>242.35</v>
      </c>
      <c r="Y7" s="4"/>
      <c r="Z7" s="4">
        <f ca="1">('TUSD BE'!$AM$12+'TUSD BF'!$AM$12+'TUSD CVA'!$AM$12)*1</f>
        <v>88.695192613955996</v>
      </c>
      <c r="AA7" s="4">
        <f>('TE BE'!$AB$6+'TE BF'!$AB$6+'TE CVA'!$AB$6)*1</f>
        <v>191.00751406315655</v>
      </c>
      <c r="AB7" s="4">
        <f>$K$7*$V$7</f>
        <v>0</v>
      </c>
      <c r="AC7" s="4">
        <f>$M$7*$W$7</f>
        <v>1949.1103500000002</v>
      </c>
      <c r="AD7" s="4">
        <f>$O$7*$X$7</f>
        <v>7654.6247499999999</v>
      </c>
      <c r="AE7" s="4">
        <f>$K$7*$Y$7</f>
        <v>0</v>
      </c>
      <c r="AF7" s="4">
        <f ca="1">$M$7*$Z$7</f>
        <v>2801.4376587118004</v>
      </c>
      <c r="AG7" s="4">
        <f>$O$7*$AA$7</f>
        <v>6032.9723316847994</v>
      </c>
      <c r="AI7" s="41" t="s">
        <v>607</v>
      </c>
      <c r="AJ7" s="42">
        <f>+$AJ$2</f>
        <v>5413830.0646199994</v>
      </c>
      <c r="AK7" s="42">
        <f ca="1">+$AK$2</f>
        <v>7764801.3098705355</v>
      </c>
      <c r="AL7" s="43">
        <f t="shared" ca="1" si="0"/>
        <v>0.43425287036887306</v>
      </c>
      <c r="AN7" s="41" t="s">
        <v>607</v>
      </c>
      <c r="AO7" s="42">
        <f>+$AO$2</f>
        <v>6055036.2286</v>
      </c>
      <c r="AP7" s="42">
        <f>+$AP$2</f>
        <v>4772260.8524334105</v>
      </c>
      <c r="AQ7" s="43">
        <f t="shared" si="1"/>
        <v>-0.21185263435875157</v>
      </c>
      <c r="AS7" s="41" t="s">
        <v>607</v>
      </c>
      <c r="AT7" s="42">
        <f>+$AT$2</f>
        <v>11468866.293219998</v>
      </c>
      <c r="AU7" s="42">
        <f ca="1">+$AU$2</f>
        <v>12537062.162303947</v>
      </c>
      <c r="AV7" s="43">
        <f t="shared" ca="1" si="2"/>
        <v>9.3138749879352112E-2</v>
      </c>
    </row>
    <row r="8" spans="1:48" ht="11.25" customHeight="1" x14ac:dyDescent="0.3">
      <c r="A8" s="3" t="s">
        <v>21</v>
      </c>
      <c r="B8" s="3" t="s">
        <v>35</v>
      </c>
      <c r="C8" s="3" t="s">
        <v>36</v>
      </c>
      <c r="D8" s="3" t="s">
        <v>39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44621</v>
      </c>
      <c r="J8" s="4">
        <v>0</v>
      </c>
      <c r="K8" s="4">
        <v>0</v>
      </c>
      <c r="L8" s="4">
        <v>31.95</v>
      </c>
      <c r="M8" s="4">
        <v>31.95</v>
      </c>
      <c r="N8" s="4">
        <v>31.95</v>
      </c>
      <c r="O8" s="4">
        <v>31.95</v>
      </c>
      <c r="P8" s="4">
        <v>0</v>
      </c>
      <c r="Q8" s="3" t="s">
        <v>26</v>
      </c>
      <c r="R8" s="3">
        <v>0</v>
      </c>
      <c r="S8" s="4">
        <v>0</v>
      </c>
      <c r="T8" s="4">
        <v>8</v>
      </c>
      <c r="U8" s="4">
        <v>51</v>
      </c>
      <c r="V8" s="4">
        <f>IF(ISERROR(VLOOKUP($S$8,'TAR FIN'!$A$1:$O$88,15,0)),0,VLOOKUP($S$8,'TAR FIN'!$A$1:$O$88,15,0))</f>
        <v>0</v>
      </c>
      <c r="W8" s="4">
        <f>IF(ISERROR(VLOOKUP($T$8,'TAR FIN'!$A$1:$O$88,15,0)),0,VLOOKUP($T$8,'TAR FIN'!$A$1:$O$88,15,0))</f>
        <v>61.71</v>
      </c>
      <c r="X8" s="4">
        <f>IF(ISERROR(VLOOKUP($U$8,'TAR FIN'!$A$1:$O$88,15,0)),0,VLOOKUP($U$8,'TAR FIN'!$A$1:$O$88,15,0))</f>
        <v>242.35</v>
      </c>
      <c r="Y8" s="4"/>
      <c r="Z8" s="4">
        <f ca="1">('TUSD BE'!$AM$12+'TUSD BF'!$AM$12+'TUSD CVA'!$AM$12)*1</f>
        <v>88.695192613955996</v>
      </c>
      <c r="AA8" s="4">
        <f>('TE BE'!$AB$6+'TE BF'!$AB$6+'TE CVA'!$AB$6)*1</f>
        <v>191.00751406315655</v>
      </c>
      <c r="AB8" s="4">
        <f>$K$8*$V$8</f>
        <v>0</v>
      </c>
      <c r="AC8" s="4">
        <f>$M$8*$W$8</f>
        <v>1971.6344999999999</v>
      </c>
      <c r="AD8" s="4">
        <f>$O$8*$X$8</f>
        <v>7743.0824999999995</v>
      </c>
      <c r="AE8" s="4">
        <f>$K$8*$Y$8</f>
        <v>0</v>
      </c>
      <c r="AF8" s="4">
        <f ca="1">$M$8*$Z$8</f>
        <v>2833.8114040158939</v>
      </c>
      <c r="AG8" s="4">
        <f>$O$8*$AA$8</f>
        <v>6102.6900743178512</v>
      </c>
      <c r="AI8" s="41" t="s">
        <v>82</v>
      </c>
      <c r="AJ8" s="42">
        <f>+$AJ$3+$AJ$4+$AJ$5+$AJ$6</f>
        <v>4548710.5954280011</v>
      </c>
      <c r="AK8" s="42">
        <f ca="1">+$AK$3+$AK$4+$AK$5+$AK$6</f>
        <v>6805090.0453785853</v>
      </c>
      <c r="AL8" s="43">
        <f t="shared" ca="1" si="0"/>
        <v>0.49604814432875011</v>
      </c>
      <c r="AN8" s="41" t="s">
        <v>82</v>
      </c>
      <c r="AO8" s="42">
        <f>+$AO$3+$AO$4+$AO$5+$AO$6</f>
        <v>3616908.9112159992</v>
      </c>
      <c r="AP8" s="42">
        <f>+$AP$3+$AP$4+$AP$5+$AP$6</f>
        <v>2914591.6797873122</v>
      </c>
      <c r="AQ8" s="43">
        <f t="shared" si="1"/>
        <v>-0.19417609032143668</v>
      </c>
      <c r="AS8" s="41" t="s">
        <v>82</v>
      </c>
      <c r="AT8" s="42">
        <f>+$AT$3+$AT$4+$AT$5+$AT$6</f>
        <v>8165619.5066440003</v>
      </c>
      <c r="AU8" s="42">
        <f ca="1">+$AU$3+$AU$4+$AU$5+$AU$6</f>
        <v>9719681.725165898</v>
      </c>
      <c r="AV8" s="43">
        <f t="shared" ca="1" si="2"/>
        <v>0.19031773612001235</v>
      </c>
    </row>
    <row r="9" spans="1:48" ht="11.25" customHeight="1" x14ac:dyDescent="0.3">
      <c r="A9" s="3" t="s">
        <v>21</v>
      </c>
      <c r="B9" s="3" t="s">
        <v>35</v>
      </c>
      <c r="C9" s="3" t="s">
        <v>36</v>
      </c>
      <c r="D9" s="3" t="s">
        <v>39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44652</v>
      </c>
      <c r="J9" s="4">
        <v>0</v>
      </c>
      <c r="K9" s="4">
        <v>0</v>
      </c>
      <c r="L9" s="4">
        <v>29.888000000000002</v>
      </c>
      <c r="M9" s="4">
        <v>29.888000000000002</v>
      </c>
      <c r="N9" s="4">
        <v>29.888000000000002</v>
      </c>
      <c r="O9" s="4">
        <v>29.888000000000002</v>
      </c>
      <c r="P9" s="4">
        <v>0</v>
      </c>
      <c r="Q9" s="3" t="s">
        <v>26</v>
      </c>
      <c r="R9" s="3">
        <v>0</v>
      </c>
      <c r="S9" s="4">
        <v>0</v>
      </c>
      <c r="T9" s="4">
        <v>8</v>
      </c>
      <c r="U9" s="4">
        <v>51</v>
      </c>
      <c r="V9" s="4">
        <f>IF(ISERROR(VLOOKUP($S$9,'TAR FIN'!$A$1:$O$88,15,0)),0,VLOOKUP($S$9,'TAR FIN'!$A$1:$O$88,15,0))</f>
        <v>0</v>
      </c>
      <c r="W9" s="4">
        <f>IF(ISERROR(VLOOKUP($T$9,'TAR FIN'!$A$1:$O$88,15,0)),0,VLOOKUP($T$9,'TAR FIN'!$A$1:$O$88,15,0))</f>
        <v>61.71</v>
      </c>
      <c r="X9" s="4">
        <f>IF(ISERROR(VLOOKUP($U$9,'TAR FIN'!$A$1:$O$88,15,0)),0,VLOOKUP($U$9,'TAR FIN'!$A$1:$O$88,15,0))</f>
        <v>242.35</v>
      </c>
      <c r="Y9" s="4"/>
      <c r="Z9" s="4">
        <f ca="1">('TUSD BE'!$AM$12+'TUSD BF'!$AM$12+'TUSD CVA'!$AM$12)*1</f>
        <v>88.695192613955996</v>
      </c>
      <c r="AA9" s="4">
        <f>('TE BE'!$AB$6+'TE BF'!$AB$6+'TE CVA'!$AB$6)*1</f>
        <v>191.00751406315655</v>
      </c>
      <c r="AB9" s="4">
        <f>$K$9*$V$9</f>
        <v>0</v>
      </c>
      <c r="AC9" s="4">
        <f>$M$9*$W$9</f>
        <v>1844.3884800000001</v>
      </c>
      <c r="AD9" s="4">
        <f>$O$9*$X$9</f>
        <v>7243.3568000000005</v>
      </c>
      <c r="AE9" s="4">
        <f>$K$9*$Y$9</f>
        <v>0</v>
      </c>
      <c r="AF9" s="4">
        <f ca="1">$M$9*$Z$9</f>
        <v>2650.9219168459172</v>
      </c>
      <c r="AG9" s="4">
        <f>$O$9*$AA$9</f>
        <v>5708.832580319623</v>
      </c>
      <c r="AI9" s="41" t="s">
        <v>608</v>
      </c>
      <c r="AJ9" s="42">
        <f>AJ8+AJ7</f>
        <v>9962540.6600480005</v>
      </c>
      <c r="AK9" s="42">
        <f ca="1">AK8+AK7</f>
        <v>14569891.355249122</v>
      </c>
      <c r="AL9" s="43">
        <f t="shared" ca="1" si="0"/>
        <v>0.46246744203289625</v>
      </c>
      <c r="AN9" s="41" t="s">
        <v>608</v>
      </c>
      <c r="AO9" s="42">
        <f>AO8+AO7</f>
        <v>9671945.1398159992</v>
      </c>
      <c r="AP9" s="42">
        <f>AP8+AP7</f>
        <v>7686852.5322207231</v>
      </c>
      <c r="AQ9" s="43">
        <f t="shared" si="1"/>
        <v>-0.2052423353212941</v>
      </c>
      <c r="AS9" s="41" t="s">
        <v>608</v>
      </c>
      <c r="AT9" s="42">
        <f>AT8+AT7</f>
        <v>19634485.799863998</v>
      </c>
      <c r="AU9" s="42">
        <f ca="1">AU8+AU7</f>
        <v>22256743.887469843</v>
      </c>
      <c r="AV9" s="43">
        <f t="shared" ca="1" si="2"/>
        <v>0.13355369294285313</v>
      </c>
    </row>
    <row r="10" spans="1:48" ht="11.25" customHeight="1" x14ac:dyDescent="0.3">
      <c r="A10" s="3" t="s">
        <v>21</v>
      </c>
      <c r="B10" s="3" t="s">
        <v>35</v>
      </c>
      <c r="C10" s="3" t="s">
        <v>36</v>
      </c>
      <c r="D10" s="3" t="s">
        <v>39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44682</v>
      </c>
      <c r="J10" s="4">
        <v>0</v>
      </c>
      <c r="K10" s="4">
        <v>0</v>
      </c>
      <c r="L10" s="4">
        <v>27.405999999999999</v>
      </c>
      <c r="M10" s="4">
        <v>27.405999999999999</v>
      </c>
      <c r="N10" s="4">
        <v>27.405999999999999</v>
      </c>
      <c r="O10" s="4">
        <v>27.405999999999999</v>
      </c>
      <c r="P10" s="4">
        <v>0</v>
      </c>
      <c r="Q10" s="3" t="s">
        <v>26</v>
      </c>
      <c r="R10" s="3">
        <v>0</v>
      </c>
      <c r="S10" s="4">
        <v>0</v>
      </c>
      <c r="T10" s="4">
        <v>8</v>
      </c>
      <c r="U10" s="4">
        <v>51</v>
      </c>
      <c r="V10" s="4">
        <f>IF(ISERROR(VLOOKUP($S$10,'TAR FIN'!$A$1:$O$88,15,0)),0,VLOOKUP($S$10,'TAR FIN'!$A$1:$O$88,15,0))</f>
        <v>0</v>
      </c>
      <c r="W10" s="4">
        <f>IF(ISERROR(VLOOKUP($T$10,'TAR FIN'!$A$1:$O$88,15,0)),0,VLOOKUP($T$10,'TAR FIN'!$A$1:$O$88,15,0))</f>
        <v>61.71</v>
      </c>
      <c r="X10" s="4">
        <f>IF(ISERROR(VLOOKUP($U$10,'TAR FIN'!$A$1:$O$88,15,0)),0,VLOOKUP($U$10,'TAR FIN'!$A$1:$O$88,15,0))</f>
        <v>242.35</v>
      </c>
      <c r="Y10" s="4"/>
      <c r="Z10" s="4">
        <f ca="1">('TUSD BE'!$AM$12+'TUSD BF'!$AM$12+'TUSD CVA'!$AM$12)*1</f>
        <v>88.695192613955996</v>
      </c>
      <c r="AA10" s="4">
        <f>('TE BE'!$AB$6+'TE BF'!$AB$6+'TE CVA'!$AB$6)*1</f>
        <v>191.00751406315655</v>
      </c>
      <c r="AB10" s="4">
        <f>$K$10*$V$10</f>
        <v>0</v>
      </c>
      <c r="AC10" s="4">
        <f>$M$10*$W$10</f>
        <v>1691.22426</v>
      </c>
      <c r="AD10" s="4">
        <f>$O$10*$X$10</f>
        <v>6641.8440999999993</v>
      </c>
      <c r="AE10" s="4">
        <f>$K$10*$Y$10</f>
        <v>0</v>
      </c>
      <c r="AF10" s="4">
        <f ca="1">$M$10*$Z$10</f>
        <v>2430.7804487780777</v>
      </c>
      <c r="AG10" s="4">
        <f>$O$10*$AA$10</f>
        <v>5234.7519304148682</v>
      </c>
    </row>
    <row r="11" spans="1:48" ht="11.25" customHeight="1" x14ac:dyDescent="0.3">
      <c r="A11" s="3" t="s">
        <v>21</v>
      </c>
      <c r="B11" s="3" t="s">
        <v>35</v>
      </c>
      <c r="C11" s="3" t="s">
        <v>36</v>
      </c>
      <c r="D11" s="3" t="s">
        <v>39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44713</v>
      </c>
      <c r="J11" s="4">
        <v>0</v>
      </c>
      <c r="K11" s="4">
        <v>0</v>
      </c>
      <c r="L11" s="4">
        <v>24.952999999999999</v>
      </c>
      <c r="M11" s="4">
        <v>24.952999999999999</v>
      </c>
      <c r="N11" s="4">
        <v>24.952999999999999</v>
      </c>
      <c r="O11" s="4">
        <v>24.952999999999999</v>
      </c>
      <c r="P11" s="4">
        <v>0</v>
      </c>
      <c r="Q11" s="3" t="s">
        <v>26</v>
      </c>
      <c r="R11" s="3">
        <v>0</v>
      </c>
      <c r="S11" s="4">
        <v>0</v>
      </c>
      <c r="T11" s="4">
        <v>8</v>
      </c>
      <c r="U11" s="4">
        <v>51</v>
      </c>
      <c r="V11" s="4">
        <f>IF(ISERROR(VLOOKUP($S$11,'TAR FIN'!$A$1:$O$88,15,0)),0,VLOOKUP($S$11,'TAR FIN'!$A$1:$O$88,15,0))</f>
        <v>0</v>
      </c>
      <c r="W11" s="4">
        <f>IF(ISERROR(VLOOKUP($T$11,'TAR FIN'!$A$1:$O$88,15,0)),0,VLOOKUP($T$11,'TAR FIN'!$A$1:$O$88,15,0))</f>
        <v>61.71</v>
      </c>
      <c r="X11" s="4">
        <f>IF(ISERROR(VLOOKUP($U$11,'TAR FIN'!$A$1:$O$88,15,0)),0,VLOOKUP($U$11,'TAR FIN'!$A$1:$O$88,15,0))</f>
        <v>242.35</v>
      </c>
      <c r="Y11" s="4"/>
      <c r="Z11" s="4">
        <f ca="1">('TUSD BE'!$AM$12+'TUSD BF'!$AM$12+'TUSD CVA'!$AM$12)*1</f>
        <v>88.695192613955996</v>
      </c>
      <c r="AA11" s="4">
        <f>('TE BE'!$AB$6+'TE BF'!$AB$6+'TE CVA'!$AB$6)*1</f>
        <v>191.00751406315655</v>
      </c>
      <c r="AB11" s="4">
        <f>$K$11*$V$11</f>
        <v>0</v>
      </c>
      <c r="AC11" s="4">
        <f>$M$11*$W$11</f>
        <v>1539.8496299999999</v>
      </c>
      <c r="AD11" s="4">
        <f>$O$11*$X$11</f>
        <v>6047.3595500000001</v>
      </c>
      <c r="AE11" s="4">
        <f>$K$11*$Y$11</f>
        <v>0</v>
      </c>
      <c r="AF11" s="4">
        <f ca="1">$M$11*$Z$11</f>
        <v>2213.2111412960439</v>
      </c>
      <c r="AG11" s="4">
        <f>$O$11*$AA$11</f>
        <v>4766.210498417945</v>
      </c>
    </row>
    <row r="12" spans="1:48" ht="11.25" customHeight="1" x14ac:dyDescent="0.3">
      <c r="A12" s="3" t="s">
        <v>21</v>
      </c>
      <c r="B12" s="3" t="s">
        <v>35</v>
      </c>
      <c r="C12" s="3" t="s">
        <v>36</v>
      </c>
      <c r="D12" s="3" t="s">
        <v>39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44743</v>
      </c>
      <c r="J12" s="4">
        <v>0</v>
      </c>
      <c r="K12" s="4">
        <v>0</v>
      </c>
      <c r="L12" s="4">
        <v>26.928999999999998</v>
      </c>
      <c r="M12" s="4">
        <v>26.928999999999998</v>
      </c>
      <c r="N12" s="4">
        <v>26.928999999999998</v>
      </c>
      <c r="O12" s="4">
        <v>26.928999999999998</v>
      </c>
      <c r="P12" s="4">
        <v>0</v>
      </c>
      <c r="Q12" s="3" t="s">
        <v>26</v>
      </c>
      <c r="R12" s="3">
        <v>0</v>
      </c>
      <c r="S12" s="4">
        <v>0</v>
      </c>
      <c r="T12" s="4">
        <v>8</v>
      </c>
      <c r="U12" s="4">
        <v>51</v>
      </c>
      <c r="V12" s="4">
        <f>IF(ISERROR(VLOOKUP($S$12,'TAR FIN'!$A$1:$O$88,15,0)),0,VLOOKUP($S$12,'TAR FIN'!$A$1:$O$88,15,0))</f>
        <v>0</v>
      </c>
      <c r="W12" s="4">
        <f>IF(ISERROR(VLOOKUP($T$12,'TAR FIN'!$A$1:$O$88,15,0)),0,VLOOKUP($T$12,'TAR FIN'!$A$1:$O$88,15,0))</f>
        <v>61.71</v>
      </c>
      <c r="X12" s="4">
        <f>IF(ISERROR(VLOOKUP($U$12,'TAR FIN'!$A$1:$O$88,15,0)),0,VLOOKUP($U$12,'TAR FIN'!$A$1:$O$88,15,0))</f>
        <v>242.35</v>
      </c>
      <c r="Y12" s="4"/>
      <c r="Z12" s="4">
        <f ca="1">('TUSD BE'!$AM$12+'TUSD BF'!$AM$12+'TUSD CVA'!$AM$12)*1</f>
        <v>88.695192613955996</v>
      </c>
      <c r="AA12" s="4">
        <f>('TE BE'!$AB$6+'TE BF'!$AB$6+'TE CVA'!$AB$6)*1</f>
        <v>191.00751406315655</v>
      </c>
      <c r="AB12" s="4">
        <f>$K$12*$V$12</f>
        <v>0</v>
      </c>
      <c r="AC12" s="4">
        <f>$M$12*$W$12</f>
        <v>1661.7885899999999</v>
      </c>
      <c r="AD12" s="4">
        <f>$O$12*$X$12</f>
        <v>6526.2431499999993</v>
      </c>
      <c r="AE12" s="4">
        <f>$K$12*$Y$12</f>
        <v>0</v>
      </c>
      <c r="AF12" s="4">
        <f ca="1">$M$12*$Z$12</f>
        <v>2388.4728419012208</v>
      </c>
      <c r="AG12" s="4">
        <f>$O$12*$AA$12</f>
        <v>5143.6413462067421</v>
      </c>
      <c r="AU12" s="64">
        <f ca="1">AU9+SUBSIDIO!AJ12</f>
        <v>22573245.270965058</v>
      </c>
    </row>
    <row r="13" spans="1:48" ht="11.25" customHeight="1" x14ac:dyDescent="0.3">
      <c r="A13" s="3" t="s">
        <v>55</v>
      </c>
      <c r="B13" s="3" t="s">
        <v>35</v>
      </c>
      <c r="C13" s="3" t="s">
        <v>36</v>
      </c>
      <c r="D13" s="3" t="s">
        <v>39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44774</v>
      </c>
      <c r="J13" s="4">
        <v>0</v>
      </c>
      <c r="K13" s="4">
        <v>0</v>
      </c>
      <c r="L13" s="4">
        <v>26.928999999999998</v>
      </c>
      <c r="M13" s="4">
        <v>26.928999999999998</v>
      </c>
      <c r="N13" s="4">
        <v>26.928999999999998</v>
      </c>
      <c r="O13" s="4">
        <v>26.928999999999998</v>
      </c>
      <c r="P13" s="4">
        <v>0</v>
      </c>
      <c r="Q13" s="3" t="s">
        <v>26</v>
      </c>
      <c r="R13" s="3">
        <v>0</v>
      </c>
      <c r="S13" s="4">
        <v>0</v>
      </c>
      <c r="T13" s="4">
        <v>8</v>
      </c>
      <c r="U13" s="4">
        <v>51</v>
      </c>
      <c r="V13" s="4">
        <f>IF(ISERROR(VLOOKUP($S$13,'TAR FIN'!$A$1:$O$88,15,0)),0,VLOOKUP($S$13,'TAR FIN'!$A$1:$O$88,15,0))</f>
        <v>0</v>
      </c>
      <c r="W13" s="4">
        <f>IF(ISERROR(VLOOKUP($T$13,'TAR FIN'!$A$1:$O$88,15,0)),0,VLOOKUP($T$13,'TAR FIN'!$A$1:$O$88,15,0))</f>
        <v>61.71</v>
      </c>
      <c r="X13" s="4">
        <f>IF(ISERROR(VLOOKUP($U$13,'TAR FIN'!$A$1:$O$88,15,0)),0,VLOOKUP($U$13,'TAR FIN'!$A$1:$O$88,15,0))</f>
        <v>242.35</v>
      </c>
      <c r="Y13" s="4"/>
      <c r="Z13" s="4">
        <f ca="1">('TUSD BE'!$AM$12+'TUSD BF'!$AM$12+'TUSD CVA'!$AM$12)*1</f>
        <v>88.695192613955996</v>
      </c>
      <c r="AA13" s="4">
        <f>('TE BE'!$AB$6+'TE BF'!$AB$6+'TE CVA'!$AB$6)*1</f>
        <v>191.00751406315655</v>
      </c>
      <c r="AB13" s="4">
        <f>$K$13*$V$13</f>
        <v>0</v>
      </c>
      <c r="AC13" s="4">
        <f>$M$13*$W$13</f>
        <v>1661.7885899999999</v>
      </c>
      <c r="AD13" s="4">
        <f>$O$13*$X$13</f>
        <v>6526.2431499999993</v>
      </c>
      <c r="AE13" s="4">
        <f>$K$13*$Y$13</f>
        <v>0</v>
      </c>
      <c r="AF13" s="4">
        <f ca="1">$M$13*$Z$13</f>
        <v>2388.4728419012208</v>
      </c>
      <c r="AG13" s="4">
        <f>$O$13*$AA$13</f>
        <v>5143.6413462067421</v>
      </c>
    </row>
    <row r="14" spans="1:48" ht="11.25" customHeight="1" x14ac:dyDescent="0.3">
      <c r="A14" s="3" t="s">
        <v>21</v>
      </c>
      <c r="B14" s="3" t="s">
        <v>35</v>
      </c>
      <c r="C14" s="3" t="s">
        <v>36</v>
      </c>
      <c r="D14" s="3" t="s">
        <v>39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44440</v>
      </c>
      <c r="J14" s="4">
        <v>98</v>
      </c>
      <c r="K14" s="4">
        <v>98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3" t="s">
        <v>26</v>
      </c>
      <c r="R14" s="3">
        <v>0</v>
      </c>
      <c r="S14" s="4">
        <v>6</v>
      </c>
      <c r="T14" s="4">
        <v>0</v>
      </c>
      <c r="U14" s="4">
        <v>0</v>
      </c>
      <c r="V14" s="4">
        <f>IF(ISERROR(VLOOKUP($S$14,'TAR FIN'!$A$1:$O$88,15,0)),0,VLOOKUP($S$14,'TAR FIN'!$A$1:$O$88,15,0))</f>
        <v>21.06</v>
      </c>
      <c r="W14" s="4">
        <f>IF(ISERROR(VLOOKUP($T$14,'TAR FIN'!$A$1:$O$88,15,0)),0,VLOOKUP($T$14,'TAR FIN'!$A$1:$O$88,15,0))</f>
        <v>0</v>
      </c>
      <c r="X14" s="4">
        <f>IF(ISERROR(VLOOKUP($U$14,'TAR FIN'!$A$1:$O$88,15,0)),0,VLOOKUP($U$14,'TAR FIN'!$A$1:$O$88,15,0))</f>
        <v>0</v>
      </c>
      <c r="Y14" s="4">
        <f ca="1">('TUSD BE'!$AM$10+'TUSD BF'!$AM$10+'TUSD CVA'!$AM$10)*1</f>
        <v>29.821869326823354</v>
      </c>
      <c r="Z14" s="4"/>
      <c r="AA14" s="4"/>
      <c r="AB14" s="4">
        <f>$K$14*$V$14</f>
        <v>2063.8799999999997</v>
      </c>
      <c r="AC14" s="4">
        <f>$M$14*$W$14</f>
        <v>0</v>
      </c>
      <c r="AD14" s="4">
        <f>$O$14*$X$14</f>
        <v>0</v>
      </c>
      <c r="AE14" s="4">
        <f ca="1">$K$14*$Y$14</f>
        <v>2922.5431940286885</v>
      </c>
      <c r="AF14" s="4">
        <f>$M$14*$Z$14</f>
        <v>0</v>
      </c>
      <c r="AG14" s="4">
        <f>$O$14*$AA$14</f>
        <v>0</v>
      </c>
    </row>
    <row r="15" spans="1:48" ht="11.25" customHeight="1" x14ac:dyDescent="0.3">
      <c r="A15" s="3" t="s">
        <v>21</v>
      </c>
      <c r="B15" s="3" t="s">
        <v>35</v>
      </c>
      <c r="C15" s="3" t="s">
        <v>36</v>
      </c>
      <c r="D15" s="3" t="s">
        <v>39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44470</v>
      </c>
      <c r="J15" s="4">
        <v>95</v>
      </c>
      <c r="K15" s="4">
        <v>95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3" t="s">
        <v>26</v>
      </c>
      <c r="R15" s="3">
        <v>0</v>
      </c>
      <c r="S15" s="4">
        <v>6</v>
      </c>
      <c r="T15" s="4">
        <v>0</v>
      </c>
      <c r="U15" s="4">
        <v>0</v>
      </c>
      <c r="V15" s="4">
        <f>IF(ISERROR(VLOOKUP($S$15,'TAR FIN'!$A$1:$O$88,15,0)),0,VLOOKUP($S$15,'TAR FIN'!$A$1:$O$88,15,0))</f>
        <v>21.06</v>
      </c>
      <c r="W15" s="4">
        <f>IF(ISERROR(VLOOKUP($T$15,'TAR FIN'!$A$1:$O$88,15,0)),0,VLOOKUP($T$15,'TAR FIN'!$A$1:$O$88,15,0))</f>
        <v>0</v>
      </c>
      <c r="X15" s="4">
        <f>IF(ISERROR(VLOOKUP($U$15,'TAR FIN'!$A$1:$O$88,15,0)),0,VLOOKUP($U$15,'TAR FIN'!$A$1:$O$88,15,0))</f>
        <v>0</v>
      </c>
      <c r="Y15" s="4">
        <f ca="1">('TUSD BE'!$AM$10+'TUSD BF'!$AM$10+'TUSD CVA'!$AM$10)*1</f>
        <v>29.821869326823354</v>
      </c>
      <c r="Z15" s="4"/>
      <c r="AA15" s="4"/>
      <c r="AB15" s="4">
        <f>$K$15*$V$15</f>
        <v>2000.6999999999998</v>
      </c>
      <c r="AC15" s="4">
        <f>$M$15*$W$15</f>
        <v>0</v>
      </c>
      <c r="AD15" s="4">
        <f>$O$15*$X$15</f>
        <v>0</v>
      </c>
      <c r="AE15" s="4">
        <f ca="1">$K$15*$Y$15</f>
        <v>2833.0775860482186</v>
      </c>
      <c r="AF15" s="4">
        <f>$M$15*$Z$15</f>
        <v>0</v>
      </c>
      <c r="AG15" s="4">
        <f>$O$15*$AA$15</f>
        <v>0</v>
      </c>
    </row>
    <row r="16" spans="1:48" ht="11.25" customHeight="1" x14ac:dyDescent="0.3">
      <c r="A16" s="3" t="s">
        <v>21</v>
      </c>
      <c r="B16" s="3" t="s">
        <v>35</v>
      </c>
      <c r="C16" s="3" t="s">
        <v>36</v>
      </c>
      <c r="D16" s="3" t="s">
        <v>39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44501</v>
      </c>
      <c r="J16" s="4">
        <v>100</v>
      </c>
      <c r="K16" s="4">
        <v>100</v>
      </c>
      <c r="L16" s="4">
        <v>0</v>
      </c>
      <c r="M16" s="4">
        <v>0</v>
      </c>
      <c r="N16" s="4">
        <v>0</v>
      </c>
      <c r="O16" s="4">
        <v>0</v>
      </c>
      <c r="P16" s="4">
        <v>1</v>
      </c>
      <c r="Q16" s="3" t="s">
        <v>26</v>
      </c>
      <c r="R16" s="3">
        <v>0</v>
      </c>
      <c r="S16" s="4">
        <v>6</v>
      </c>
      <c r="T16" s="4">
        <v>0</v>
      </c>
      <c r="U16" s="4">
        <v>0</v>
      </c>
      <c r="V16" s="4">
        <f>IF(ISERROR(VLOOKUP($S$16,'TAR FIN'!$A$1:$O$88,15,0)),0,VLOOKUP($S$16,'TAR FIN'!$A$1:$O$88,15,0))</f>
        <v>21.06</v>
      </c>
      <c r="W16" s="4">
        <f>IF(ISERROR(VLOOKUP($T$16,'TAR FIN'!$A$1:$O$88,15,0)),0,VLOOKUP($T$16,'TAR FIN'!$A$1:$O$88,15,0))</f>
        <v>0</v>
      </c>
      <c r="X16" s="4">
        <f>IF(ISERROR(VLOOKUP($U$16,'TAR FIN'!$A$1:$O$88,15,0)),0,VLOOKUP($U$16,'TAR FIN'!$A$1:$O$88,15,0))</f>
        <v>0</v>
      </c>
      <c r="Y16" s="4">
        <f ca="1">('TUSD BE'!$AM$10+'TUSD BF'!$AM$10+'TUSD CVA'!$AM$10)*1</f>
        <v>29.821869326823354</v>
      </c>
      <c r="Z16" s="4"/>
      <c r="AA16" s="4"/>
      <c r="AB16" s="4">
        <f>$K$16*$V$16</f>
        <v>2106</v>
      </c>
      <c r="AC16" s="4">
        <f>$M$16*$W$16</f>
        <v>0</v>
      </c>
      <c r="AD16" s="4">
        <f>$O$16*$X$16</f>
        <v>0</v>
      </c>
      <c r="AE16" s="4">
        <f ca="1">$K$16*$Y$16</f>
        <v>2982.1869326823353</v>
      </c>
      <c r="AF16" s="4">
        <f>$M$16*$Z$16</f>
        <v>0</v>
      </c>
      <c r="AG16" s="4">
        <f>$O$16*$AA$16</f>
        <v>0</v>
      </c>
    </row>
    <row r="17" spans="1:33" ht="11.25" customHeight="1" x14ac:dyDescent="0.3">
      <c r="A17" s="3" t="s">
        <v>21</v>
      </c>
      <c r="B17" s="3" t="s">
        <v>35</v>
      </c>
      <c r="C17" s="3" t="s">
        <v>36</v>
      </c>
      <c r="D17" s="3" t="s">
        <v>39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44531</v>
      </c>
      <c r="J17" s="4">
        <v>112</v>
      </c>
      <c r="K17" s="4">
        <v>112</v>
      </c>
      <c r="L17" s="4">
        <v>0</v>
      </c>
      <c r="M17" s="4">
        <v>0</v>
      </c>
      <c r="N17" s="4">
        <v>0</v>
      </c>
      <c r="O17" s="4">
        <v>0</v>
      </c>
      <c r="P17" s="4">
        <v>1</v>
      </c>
      <c r="Q17" s="3" t="s">
        <v>26</v>
      </c>
      <c r="R17" s="3">
        <v>0</v>
      </c>
      <c r="S17" s="4">
        <v>6</v>
      </c>
      <c r="T17" s="4">
        <v>0</v>
      </c>
      <c r="U17" s="4">
        <v>0</v>
      </c>
      <c r="V17" s="4">
        <f>IF(ISERROR(VLOOKUP($S$17,'TAR FIN'!$A$1:$O$88,15,0)),0,VLOOKUP($S$17,'TAR FIN'!$A$1:$O$88,15,0))</f>
        <v>21.06</v>
      </c>
      <c r="W17" s="4">
        <f>IF(ISERROR(VLOOKUP($T$17,'TAR FIN'!$A$1:$O$88,15,0)),0,VLOOKUP($T$17,'TAR FIN'!$A$1:$O$88,15,0))</f>
        <v>0</v>
      </c>
      <c r="X17" s="4">
        <f>IF(ISERROR(VLOOKUP($U$17,'TAR FIN'!$A$1:$O$88,15,0)),0,VLOOKUP($U$17,'TAR FIN'!$A$1:$O$88,15,0))</f>
        <v>0</v>
      </c>
      <c r="Y17" s="4">
        <f ca="1">('TUSD BE'!$AM$10+'TUSD BF'!$AM$10+'TUSD CVA'!$AM$10)*1</f>
        <v>29.821869326823354</v>
      </c>
      <c r="Z17" s="4"/>
      <c r="AA17" s="4"/>
      <c r="AB17" s="4">
        <f>$K$17*$V$17</f>
        <v>2358.7199999999998</v>
      </c>
      <c r="AC17" s="4">
        <f>$M$17*$W$17</f>
        <v>0</v>
      </c>
      <c r="AD17" s="4">
        <f>$O$17*$X$17</f>
        <v>0</v>
      </c>
      <c r="AE17" s="4">
        <f ca="1">$K$17*$Y$17</f>
        <v>3340.0493646042155</v>
      </c>
      <c r="AF17" s="4">
        <f>$M$17*$Z$17</f>
        <v>0</v>
      </c>
      <c r="AG17" s="4">
        <f>$O$17*$AA$17</f>
        <v>0</v>
      </c>
    </row>
    <row r="18" spans="1:33" ht="11.25" customHeight="1" x14ac:dyDescent="0.3">
      <c r="A18" s="3" t="s">
        <v>21</v>
      </c>
      <c r="B18" s="3" t="s">
        <v>35</v>
      </c>
      <c r="C18" s="3" t="s">
        <v>36</v>
      </c>
      <c r="D18" s="3" t="s">
        <v>39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44562</v>
      </c>
      <c r="J18" s="4">
        <v>115</v>
      </c>
      <c r="K18" s="4">
        <v>115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3" t="s">
        <v>26</v>
      </c>
      <c r="R18" s="3">
        <v>0</v>
      </c>
      <c r="S18" s="4">
        <v>6</v>
      </c>
      <c r="T18" s="4">
        <v>0</v>
      </c>
      <c r="U18" s="4">
        <v>0</v>
      </c>
      <c r="V18" s="4">
        <f>IF(ISERROR(VLOOKUP($S$18,'TAR FIN'!$A$1:$O$88,15,0)),0,VLOOKUP($S$18,'TAR FIN'!$A$1:$O$88,15,0))</f>
        <v>21.06</v>
      </c>
      <c r="W18" s="4">
        <f>IF(ISERROR(VLOOKUP($T$18,'TAR FIN'!$A$1:$O$88,15,0)),0,VLOOKUP($T$18,'TAR FIN'!$A$1:$O$88,15,0))</f>
        <v>0</v>
      </c>
      <c r="X18" s="4">
        <f>IF(ISERROR(VLOOKUP($U$18,'TAR FIN'!$A$1:$O$88,15,0)),0,VLOOKUP($U$18,'TAR FIN'!$A$1:$O$88,15,0))</f>
        <v>0</v>
      </c>
      <c r="Y18" s="4">
        <f ca="1">('TUSD BE'!$AM$10+'TUSD BF'!$AM$10+'TUSD CVA'!$AM$10)*1</f>
        <v>29.821869326823354</v>
      </c>
      <c r="Z18" s="4"/>
      <c r="AA18" s="4"/>
      <c r="AB18" s="4">
        <f>$K$18*$V$18</f>
        <v>2421.8999999999996</v>
      </c>
      <c r="AC18" s="4">
        <f>$M$18*$W$18</f>
        <v>0</v>
      </c>
      <c r="AD18" s="4">
        <f>$O$18*$X$18</f>
        <v>0</v>
      </c>
      <c r="AE18" s="4">
        <f ca="1">$K$18*$Y$18</f>
        <v>3429.5149725846859</v>
      </c>
      <c r="AF18" s="4">
        <f>$M$18*$Z$18</f>
        <v>0</v>
      </c>
      <c r="AG18" s="4">
        <f>$O$18*$AA$18</f>
        <v>0</v>
      </c>
    </row>
    <row r="19" spans="1:33" ht="11.25" customHeight="1" x14ac:dyDescent="0.3">
      <c r="A19" s="3" t="s">
        <v>21</v>
      </c>
      <c r="B19" s="3" t="s">
        <v>35</v>
      </c>
      <c r="C19" s="3" t="s">
        <v>36</v>
      </c>
      <c r="D19" s="3" t="s">
        <v>39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44593</v>
      </c>
      <c r="J19" s="4">
        <v>110</v>
      </c>
      <c r="K19" s="4">
        <v>110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3" t="s">
        <v>26</v>
      </c>
      <c r="R19" s="3">
        <v>0</v>
      </c>
      <c r="S19" s="4">
        <v>6</v>
      </c>
      <c r="T19" s="4">
        <v>0</v>
      </c>
      <c r="U19" s="4">
        <v>0</v>
      </c>
      <c r="V19" s="4">
        <f>IF(ISERROR(VLOOKUP($S$19,'TAR FIN'!$A$1:$O$88,15,0)),0,VLOOKUP($S$19,'TAR FIN'!$A$1:$O$88,15,0))</f>
        <v>21.06</v>
      </c>
      <c r="W19" s="4">
        <f>IF(ISERROR(VLOOKUP($T$19,'TAR FIN'!$A$1:$O$88,15,0)),0,VLOOKUP($T$19,'TAR FIN'!$A$1:$O$88,15,0))</f>
        <v>0</v>
      </c>
      <c r="X19" s="4">
        <f>IF(ISERROR(VLOOKUP($U$19,'TAR FIN'!$A$1:$O$88,15,0)),0,VLOOKUP($U$19,'TAR FIN'!$A$1:$O$88,15,0))</f>
        <v>0</v>
      </c>
      <c r="Y19" s="4">
        <f ca="1">('TUSD BE'!$AM$10+'TUSD BF'!$AM$10+'TUSD CVA'!$AM$10)*1</f>
        <v>29.821869326823354</v>
      </c>
      <c r="Z19" s="4"/>
      <c r="AA19" s="4"/>
      <c r="AB19" s="4">
        <f>$K$19*$V$19</f>
        <v>2316.6</v>
      </c>
      <c r="AC19" s="4">
        <f>$M$19*$W$19</f>
        <v>0</v>
      </c>
      <c r="AD19" s="4">
        <f>$O$19*$X$19</f>
        <v>0</v>
      </c>
      <c r="AE19" s="4">
        <f ca="1">$K$19*$Y$19</f>
        <v>3280.4056259505687</v>
      </c>
      <c r="AF19" s="4">
        <f>$M$19*$Z$19</f>
        <v>0</v>
      </c>
      <c r="AG19" s="4">
        <f>$O$19*$AA$19</f>
        <v>0</v>
      </c>
    </row>
    <row r="20" spans="1:33" ht="11.25" customHeight="1" x14ac:dyDescent="0.3">
      <c r="A20" s="3" t="s">
        <v>21</v>
      </c>
      <c r="B20" s="3" t="s">
        <v>35</v>
      </c>
      <c r="C20" s="3" t="s">
        <v>36</v>
      </c>
      <c r="D20" s="3" t="s">
        <v>39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44621</v>
      </c>
      <c r="J20" s="4">
        <v>110</v>
      </c>
      <c r="K20" s="4">
        <v>110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3" t="s">
        <v>26</v>
      </c>
      <c r="R20" s="3">
        <v>0</v>
      </c>
      <c r="S20" s="4">
        <v>6</v>
      </c>
      <c r="T20" s="4">
        <v>0</v>
      </c>
      <c r="U20" s="4">
        <v>0</v>
      </c>
      <c r="V20" s="4">
        <f>IF(ISERROR(VLOOKUP($S$20,'TAR FIN'!$A$1:$O$88,15,0)),0,VLOOKUP($S$20,'TAR FIN'!$A$1:$O$88,15,0))</f>
        <v>21.06</v>
      </c>
      <c r="W20" s="4">
        <f>IF(ISERROR(VLOOKUP($T$20,'TAR FIN'!$A$1:$O$88,15,0)),0,VLOOKUP($T$20,'TAR FIN'!$A$1:$O$88,15,0))</f>
        <v>0</v>
      </c>
      <c r="X20" s="4">
        <f>IF(ISERROR(VLOOKUP($U$20,'TAR FIN'!$A$1:$O$88,15,0)),0,VLOOKUP($U$20,'TAR FIN'!$A$1:$O$88,15,0))</f>
        <v>0</v>
      </c>
      <c r="Y20" s="4">
        <f ca="1">('TUSD BE'!$AM$10+'TUSD BF'!$AM$10+'TUSD CVA'!$AM$10)*1</f>
        <v>29.821869326823354</v>
      </c>
      <c r="Z20" s="4"/>
      <c r="AA20" s="4"/>
      <c r="AB20" s="4">
        <f>$K$20*$V$20</f>
        <v>2316.6</v>
      </c>
      <c r="AC20" s="4">
        <f>$M$20*$W$20</f>
        <v>0</v>
      </c>
      <c r="AD20" s="4">
        <f>$O$20*$X$20</f>
        <v>0</v>
      </c>
      <c r="AE20" s="4">
        <f ca="1">$K$20*$Y$20</f>
        <v>3280.4056259505687</v>
      </c>
      <c r="AF20" s="4">
        <f>$M$20*$Z$20</f>
        <v>0</v>
      </c>
      <c r="AG20" s="4">
        <f>$O$20*$AA$20</f>
        <v>0</v>
      </c>
    </row>
    <row r="21" spans="1:33" ht="11.25" customHeight="1" x14ac:dyDescent="0.3">
      <c r="A21" s="3" t="s">
        <v>21</v>
      </c>
      <c r="B21" s="3" t="s">
        <v>35</v>
      </c>
      <c r="C21" s="3" t="s">
        <v>36</v>
      </c>
      <c r="D21" s="3" t="s">
        <v>39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44652</v>
      </c>
      <c r="J21" s="4">
        <v>110</v>
      </c>
      <c r="K21" s="4">
        <v>110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3" t="s">
        <v>26</v>
      </c>
      <c r="R21" s="3">
        <v>0</v>
      </c>
      <c r="S21" s="4">
        <v>6</v>
      </c>
      <c r="T21" s="4">
        <v>0</v>
      </c>
      <c r="U21" s="4">
        <v>0</v>
      </c>
      <c r="V21" s="4">
        <f>IF(ISERROR(VLOOKUP($S$21,'TAR FIN'!$A$1:$O$88,15,0)),0,VLOOKUP($S$21,'TAR FIN'!$A$1:$O$88,15,0))</f>
        <v>21.06</v>
      </c>
      <c r="W21" s="4">
        <f>IF(ISERROR(VLOOKUP($T$21,'TAR FIN'!$A$1:$O$88,15,0)),0,VLOOKUP($T$21,'TAR FIN'!$A$1:$O$88,15,0))</f>
        <v>0</v>
      </c>
      <c r="X21" s="4">
        <f>IF(ISERROR(VLOOKUP($U$21,'TAR FIN'!$A$1:$O$88,15,0)),0,VLOOKUP($U$21,'TAR FIN'!$A$1:$O$88,15,0))</f>
        <v>0</v>
      </c>
      <c r="Y21" s="4">
        <f ca="1">('TUSD BE'!$AM$10+'TUSD BF'!$AM$10+'TUSD CVA'!$AM$10)*1</f>
        <v>29.821869326823354</v>
      </c>
      <c r="Z21" s="4"/>
      <c r="AA21" s="4"/>
      <c r="AB21" s="4">
        <f>$K$21*$V$21</f>
        <v>2316.6</v>
      </c>
      <c r="AC21" s="4">
        <f>$M$21*$W$21</f>
        <v>0</v>
      </c>
      <c r="AD21" s="4">
        <f>$O$21*$X$21</f>
        <v>0</v>
      </c>
      <c r="AE21" s="4">
        <f ca="1">$K$21*$Y$21</f>
        <v>3280.4056259505687</v>
      </c>
      <c r="AF21" s="4">
        <f>$M$21*$Z$21</f>
        <v>0</v>
      </c>
      <c r="AG21" s="4">
        <f>$O$21*$AA$21</f>
        <v>0</v>
      </c>
    </row>
    <row r="22" spans="1:33" ht="11.25" customHeight="1" x14ac:dyDescent="0.3">
      <c r="A22" s="3" t="s">
        <v>21</v>
      </c>
      <c r="B22" s="3" t="s">
        <v>35</v>
      </c>
      <c r="C22" s="3" t="s">
        <v>36</v>
      </c>
      <c r="D22" s="3" t="s">
        <v>39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44682</v>
      </c>
      <c r="J22" s="4">
        <v>110</v>
      </c>
      <c r="K22" s="4">
        <v>110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3" t="s">
        <v>26</v>
      </c>
      <c r="R22" s="3">
        <v>0</v>
      </c>
      <c r="S22" s="4">
        <v>6</v>
      </c>
      <c r="T22" s="4">
        <v>0</v>
      </c>
      <c r="U22" s="4">
        <v>0</v>
      </c>
      <c r="V22" s="4">
        <f>IF(ISERROR(VLOOKUP($S$22,'TAR FIN'!$A$1:$O$88,15,0)),0,VLOOKUP($S$22,'TAR FIN'!$A$1:$O$88,15,0))</f>
        <v>21.06</v>
      </c>
      <c r="W22" s="4">
        <f>IF(ISERROR(VLOOKUP($T$22,'TAR FIN'!$A$1:$O$88,15,0)),0,VLOOKUP($T$22,'TAR FIN'!$A$1:$O$88,15,0))</f>
        <v>0</v>
      </c>
      <c r="X22" s="4">
        <f>IF(ISERROR(VLOOKUP($U$22,'TAR FIN'!$A$1:$O$88,15,0)),0,VLOOKUP($U$22,'TAR FIN'!$A$1:$O$88,15,0))</f>
        <v>0</v>
      </c>
      <c r="Y22" s="4">
        <f ca="1">('TUSD BE'!$AM$10+'TUSD BF'!$AM$10+'TUSD CVA'!$AM$10)*1</f>
        <v>29.821869326823354</v>
      </c>
      <c r="Z22" s="4"/>
      <c r="AA22" s="4"/>
      <c r="AB22" s="4">
        <f>$K$22*$V$22</f>
        <v>2316.6</v>
      </c>
      <c r="AC22" s="4">
        <f>$M$22*$W$22</f>
        <v>0</v>
      </c>
      <c r="AD22" s="4">
        <f>$O$22*$X$22</f>
        <v>0</v>
      </c>
      <c r="AE22" s="4">
        <f ca="1">$K$22*$Y$22</f>
        <v>3280.4056259505687</v>
      </c>
      <c r="AF22" s="4">
        <f>$M$22*$Z$22</f>
        <v>0</v>
      </c>
      <c r="AG22" s="4">
        <f>$O$22*$AA$22</f>
        <v>0</v>
      </c>
    </row>
    <row r="23" spans="1:33" ht="11.25" customHeight="1" x14ac:dyDescent="0.3">
      <c r="A23" s="3" t="s">
        <v>21</v>
      </c>
      <c r="B23" s="3" t="s">
        <v>35</v>
      </c>
      <c r="C23" s="3" t="s">
        <v>36</v>
      </c>
      <c r="D23" s="3" t="s">
        <v>39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44713</v>
      </c>
      <c r="J23" s="4">
        <v>110</v>
      </c>
      <c r="K23" s="4">
        <v>110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3" t="s">
        <v>26</v>
      </c>
      <c r="R23" s="3">
        <v>0</v>
      </c>
      <c r="S23" s="4">
        <v>6</v>
      </c>
      <c r="T23" s="4">
        <v>0</v>
      </c>
      <c r="U23" s="4">
        <v>0</v>
      </c>
      <c r="V23" s="4">
        <f>IF(ISERROR(VLOOKUP($S$23,'TAR FIN'!$A$1:$O$88,15,0)),0,VLOOKUP($S$23,'TAR FIN'!$A$1:$O$88,15,0))</f>
        <v>21.06</v>
      </c>
      <c r="W23" s="4">
        <f>IF(ISERROR(VLOOKUP($T$23,'TAR FIN'!$A$1:$O$88,15,0)),0,VLOOKUP($T$23,'TAR FIN'!$A$1:$O$88,15,0))</f>
        <v>0</v>
      </c>
      <c r="X23" s="4">
        <f>IF(ISERROR(VLOOKUP($U$23,'TAR FIN'!$A$1:$O$88,15,0)),0,VLOOKUP($U$23,'TAR FIN'!$A$1:$O$88,15,0))</f>
        <v>0</v>
      </c>
      <c r="Y23" s="4">
        <f ca="1">('TUSD BE'!$AM$10+'TUSD BF'!$AM$10+'TUSD CVA'!$AM$10)*1</f>
        <v>29.821869326823354</v>
      </c>
      <c r="Z23" s="4"/>
      <c r="AA23" s="4"/>
      <c r="AB23" s="4">
        <f>$K$23*$V$23</f>
        <v>2316.6</v>
      </c>
      <c r="AC23" s="4">
        <f>$M$23*$W$23</f>
        <v>0</v>
      </c>
      <c r="AD23" s="4">
        <f>$O$23*$X$23</f>
        <v>0</v>
      </c>
      <c r="AE23" s="4">
        <f ca="1">$K$23*$Y$23</f>
        <v>3280.4056259505687</v>
      </c>
      <c r="AF23" s="4">
        <f>$M$23*$Z$23</f>
        <v>0</v>
      </c>
      <c r="AG23" s="4">
        <f>$O$23*$AA$23</f>
        <v>0</v>
      </c>
    </row>
    <row r="24" spans="1:33" ht="11.25" customHeight="1" x14ac:dyDescent="0.3">
      <c r="A24" s="3" t="s">
        <v>21</v>
      </c>
      <c r="B24" s="3" t="s">
        <v>35</v>
      </c>
      <c r="C24" s="3" t="s">
        <v>36</v>
      </c>
      <c r="D24" s="3" t="s">
        <v>39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44743</v>
      </c>
      <c r="J24" s="4">
        <v>85</v>
      </c>
      <c r="K24" s="4">
        <v>85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3" t="s">
        <v>26</v>
      </c>
      <c r="R24" s="3">
        <v>0</v>
      </c>
      <c r="S24" s="4">
        <v>6</v>
      </c>
      <c r="T24" s="4">
        <v>0</v>
      </c>
      <c r="U24" s="4">
        <v>0</v>
      </c>
      <c r="V24" s="4">
        <f>IF(ISERROR(VLOOKUP($S$24,'TAR FIN'!$A$1:$O$88,15,0)),0,VLOOKUP($S$24,'TAR FIN'!$A$1:$O$88,15,0))</f>
        <v>21.06</v>
      </c>
      <c r="W24" s="4">
        <f>IF(ISERROR(VLOOKUP($T$24,'TAR FIN'!$A$1:$O$88,15,0)),0,VLOOKUP($T$24,'TAR FIN'!$A$1:$O$88,15,0))</f>
        <v>0</v>
      </c>
      <c r="X24" s="4">
        <f>IF(ISERROR(VLOOKUP($U$24,'TAR FIN'!$A$1:$O$88,15,0)),0,VLOOKUP($U$24,'TAR FIN'!$A$1:$O$88,15,0))</f>
        <v>0</v>
      </c>
      <c r="Y24" s="4">
        <f ca="1">('TUSD BE'!$AM$10+'TUSD BF'!$AM$10+'TUSD CVA'!$AM$10)*1</f>
        <v>29.821869326823354</v>
      </c>
      <c r="Z24" s="4"/>
      <c r="AA24" s="4"/>
      <c r="AB24" s="4">
        <f>$K$24*$V$24</f>
        <v>1790.1</v>
      </c>
      <c r="AC24" s="4">
        <f>$M$24*$W$24</f>
        <v>0</v>
      </c>
      <c r="AD24" s="4">
        <f>$O$24*$X$24</f>
        <v>0</v>
      </c>
      <c r="AE24" s="4">
        <f ca="1">$K$24*$Y$24</f>
        <v>2534.8588927799851</v>
      </c>
      <c r="AF24" s="4">
        <f>$M$24*$Z$24</f>
        <v>0</v>
      </c>
      <c r="AG24" s="4">
        <f>$O$24*$AA$24</f>
        <v>0</v>
      </c>
    </row>
    <row r="25" spans="1:33" ht="11.25" customHeight="1" x14ac:dyDescent="0.3">
      <c r="A25" s="3" t="s">
        <v>55</v>
      </c>
      <c r="B25" s="3" t="s">
        <v>35</v>
      </c>
      <c r="C25" s="3" t="s">
        <v>36</v>
      </c>
      <c r="D25" s="3" t="s">
        <v>39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44774</v>
      </c>
      <c r="J25" s="4">
        <v>85</v>
      </c>
      <c r="K25" s="4">
        <v>85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3" t="s">
        <v>26</v>
      </c>
      <c r="R25" s="3">
        <v>0</v>
      </c>
      <c r="S25" s="4">
        <v>6</v>
      </c>
      <c r="T25" s="4">
        <v>0</v>
      </c>
      <c r="U25" s="4">
        <v>0</v>
      </c>
      <c r="V25" s="4">
        <f>IF(ISERROR(VLOOKUP($S$25,'TAR FIN'!$A$1:$O$88,15,0)),0,VLOOKUP($S$25,'TAR FIN'!$A$1:$O$88,15,0))</f>
        <v>21.06</v>
      </c>
      <c r="W25" s="4">
        <f>IF(ISERROR(VLOOKUP($T$25,'TAR FIN'!$A$1:$O$88,15,0)),0,VLOOKUP($T$25,'TAR FIN'!$A$1:$O$88,15,0))</f>
        <v>0</v>
      </c>
      <c r="X25" s="4">
        <f>IF(ISERROR(VLOOKUP($U$25,'TAR FIN'!$A$1:$O$88,15,0)),0,VLOOKUP($U$25,'TAR FIN'!$A$1:$O$88,15,0))</f>
        <v>0</v>
      </c>
      <c r="Y25" s="4">
        <f ca="1">('TUSD BE'!$AM$10+'TUSD BF'!$AM$10+'TUSD CVA'!$AM$10)*1</f>
        <v>29.821869326823354</v>
      </c>
      <c r="Z25" s="4"/>
      <c r="AA25" s="4"/>
      <c r="AB25" s="4">
        <f>$K$25*$V$25</f>
        <v>1790.1</v>
      </c>
      <c r="AC25" s="4">
        <f>$M$25*$W$25</f>
        <v>0</v>
      </c>
      <c r="AD25" s="4">
        <f>$O$25*$X$25</f>
        <v>0</v>
      </c>
      <c r="AE25" s="4">
        <f ca="1">$K$25*$Y$25</f>
        <v>2534.8588927799851</v>
      </c>
      <c r="AF25" s="4">
        <f>$M$25*$Z$25</f>
        <v>0</v>
      </c>
      <c r="AG25" s="4">
        <f>$O$25*$AA$25</f>
        <v>0</v>
      </c>
    </row>
    <row r="26" spans="1:33" ht="11.25" customHeight="1" x14ac:dyDescent="0.3">
      <c r="A26" s="3" t="s">
        <v>21</v>
      </c>
      <c r="B26" s="3" t="s">
        <v>35</v>
      </c>
      <c r="C26" s="3" t="s">
        <v>36</v>
      </c>
      <c r="D26" s="3" t="s">
        <v>39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44440</v>
      </c>
      <c r="J26" s="4">
        <v>0</v>
      </c>
      <c r="K26" s="4">
        <v>0</v>
      </c>
      <c r="L26" s="4">
        <v>2.3650000000000002</v>
      </c>
      <c r="M26" s="4">
        <v>2.3650000000000002</v>
      </c>
      <c r="N26" s="4">
        <v>2.3650000000000002</v>
      </c>
      <c r="O26" s="4">
        <v>2.3650000000000002</v>
      </c>
      <c r="P26" s="4">
        <v>0</v>
      </c>
      <c r="Q26" s="3" t="s">
        <v>26</v>
      </c>
      <c r="R26" s="3">
        <v>0</v>
      </c>
      <c r="S26" s="4">
        <v>0</v>
      </c>
      <c r="T26" s="4">
        <v>7</v>
      </c>
      <c r="U26" s="4">
        <v>50</v>
      </c>
      <c r="V26" s="4">
        <f>IF(ISERROR(VLOOKUP($S$26,'TAR FIN'!$A$1:$O$88,15,0)),0,VLOOKUP($S$26,'TAR FIN'!$A$1:$O$88,15,0))</f>
        <v>0</v>
      </c>
      <c r="W26" s="4">
        <f>IF(ISERROR(VLOOKUP($T$26,'TAR FIN'!$A$1:$O$88,15,0)),0,VLOOKUP($T$26,'TAR FIN'!$A$1:$O$88,15,0))</f>
        <v>1568.04</v>
      </c>
      <c r="X26" s="4">
        <f>IF(ISERROR(VLOOKUP($U$26,'TAR FIN'!$A$1:$O$88,15,0)),0,VLOOKUP($U$26,'TAR FIN'!$A$1:$O$88,15,0))</f>
        <v>242.35</v>
      </c>
      <c r="Y26" s="4"/>
      <c r="Z26" s="4">
        <f ca="1">('TUSD BE'!$AM$11+'TUSD BF'!$AM$11+'TUSD CVA'!$AM$11)*1</f>
        <v>2263.994888127495</v>
      </c>
      <c r="AA26" s="4">
        <f>('TE BE'!$AB$5+'TE BF'!$AB$5+'TE CVA'!$AB$5)*1</f>
        <v>191.00751406315655</v>
      </c>
      <c r="AB26" s="4">
        <f>$K$26*$V$26</f>
        <v>0</v>
      </c>
      <c r="AC26" s="4">
        <f>$M$26*$W$26</f>
        <v>3708.4146000000001</v>
      </c>
      <c r="AD26" s="4">
        <f>$O$26*$X$26</f>
        <v>573.15775000000008</v>
      </c>
      <c r="AE26" s="4">
        <f>$K$26*$Y$26</f>
        <v>0</v>
      </c>
      <c r="AF26" s="4">
        <f ca="1">$M$26*$Z$26</f>
        <v>5354.3479104215257</v>
      </c>
      <c r="AG26" s="4">
        <f>$O$26*$AA$26</f>
        <v>451.73277075936528</v>
      </c>
    </row>
    <row r="27" spans="1:33" ht="11.25" customHeight="1" x14ac:dyDescent="0.3">
      <c r="A27" s="3" t="s">
        <v>21</v>
      </c>
      <c r="B27" s="3" t="s">
        <v>35</v>
      </c>
      <c r="C27" s="3" t="s">
        <v>36</v>
      </c>
      <c r="D27" s="3" t="s">
        <v>39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44470</v>
      </c>
      <c r="J27" s="4">
        <v>0</v>
      </c>
      <c r="K27" s="4">
        <v>0</v>
      </c>
      <c r="L27" s="4">
        <v>2.198</v>
      </c>
      <c r="M27" s="4">
        <v>2.198</v>
      </c>
      <c r="N27" s="4">
        <v>2.198</v>
      </c>
      <c r="O27" s="4">
        <v>2.198</v>
      </c>
      <c r="P27" s="4">
        <v>0</v>
      </c>
      <c r="Q27" s="3" t="s">
        <v>26</v>
      </c>
      <c r="R27" s="3">
        <v>0</v>
      </c>
      <c r="S27" s="4">
        <v>0</v>
      </c>
      <c r="T27" s="4">
        <v>7</v>
      </c>
      <c r="U27" s="4">
        <v>50</v>
      </c>
      <c r="V27" s="4">
        <f>IF(ISERROR(VLOOKUP($S$27,'TAR FIN'!$A$1:$O$88,15,0)),0,VLOOKUP($S$27,'TAR FIN'!$A$1:$O$88,15,0))</f>
        <v>0</v>
      </c>
      <c r="W27" s="4">
        <f>IF(ISERROR(VLOOKUP($T$27,'TAR FIN'!$A$1:$O$88,15,0)),0,VLOOKUP($T$27,'TAR FIN'!$A$1:$O$88,15,0))</f>
        <v>1568.04</v>
      </c>
      <c r="X27" s="4">
        <f>IF(ISERROR(VLOOKUP($U$27,'TAR FIN'!$A$1:$O$88,15,0)),0,VLOOKUP($U$27,'TAR FIN'!$A$1:$O$88,15,0))</f>
        <v>242.35</v>
      </c>
      <c r="Y27" s="4"/>
      <c r="Z27" s="4">
        <f ca="1">('TUSD BE'!$AM$11+'TUSD BF'!$AM$11+'TUSD CVA'!$AM$11)*1</f>
        <v>2263.994888127495</v>
      </c>
      <c r="AA27" s="4">
        <f>('TE BE'!$AB$5+'TE BF'!$AB$5+'TE CVA'!$AB$5)*1</f>
        <v>191.00751406315655</v>
      </c>
      <c r="AB27" s="4">
        <f>$K$27*$V$27</f>
        <v>0</v>
      </c>
      <c r="AC27" s="4">
        <f>$M$27*$W$27</f>
        <v>3446.5519199999999</v>
      </c>
      <c r="AD27" s="4">
        <f>$O$27*$X$27</f>
        <v>532.68529999999998</v>
      </c>
      <c r="AE27" s="4">
        <f>$K$27*$Y$27</f>
        <v>0</v>
      </c>
      <c r="AF27" s="4">
        <f ca="1">$M$27*$Z$27</f>
        <v>4976.2607641042341</v>
      </c>
      <c r="AG27" s="4">
        <f>$O$27*$AA$27</f>
        <v>419.83451591081808</v>
      </c>
    </row>
    <row r="28" spans="1:33" ht="11.25" customHeight="1" x14ac:dyDescent="0.3">
      <c r="A28" s="3" t="s">
        <v>21</v>
      </c>
      <c r="B28" s="3" t="s">
        <v>35</v>
      </c>
      <c r="C28" s="3" t="s">
        <v>36</v>
      </c>
      <c r="D28" s="3" t="s">
        <v>39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44501</v>
      </c>
      <c r="J28" s="4">
        <v>0</v>
      </c>
      <c r="K28" s="4">
        <v>0</v>
      </c>
      <c r="L28" s="4">
        <v>2.4809999999999999</v>
      </c>
      <c r="M28" s="4">
        <v>2.4809999999999999</v>
      </c>
      <c r="N28" s="4">
        <v>2.4809999999999999</v>
      </c>
      <c r="O28" s="4">
        <v>2.4809999999999999</v>
      </c>
      <c r="P28" s="4">
        <v>0</v>
      </c>
      <c r="Q28" s="3" t="s">
        <v>26</v>
      </c>
      <c r="R28" s="3">
        <v>0</v>
      </c>
      <c r="S28" s="4">
        <v>0</v>
      </c>
      <c r="T28" s="4">
        <v>7</v>
      </c>
      <c r="U28" s="4">
        <v>50</v>
      </c>
      <c r="V28" s="4">
        <f>IF(ISERROR(VLOOKUP($S$28,'TAR FIN'!$A$1:$O$88,15,0)),0,VLOOKUP($S$28,'TAR FIN'!$A$1:$O$88,15,0))</f>
        <v>0</v>
      </c>
      <c r="W28" s="4">
        <f>IF(ISERROR(VLOOKUP($T$28,'TAR FIN'!$A$1:$O$88,15,0)),0,VLOOKUP($T$28,'TAR FIN'!$A$1:$O$88,15,0))</f>
        <v>1568.04</v>
      </c>
      <c r="X28" s="4">
        <f>IF(ISERROR(VLOOKUP($U$28,'TAR FIN'!$A$1:$O$88,15,0)),0,VLOOKUP($U$28,'TAR FIN'!$A$1:$O$88,15,0))</f>
        <v>242.35</v>
      </c>
      <c r="Y28" s="4"/>
      <c r="Z28" s="4">
        <f ca="1">('TUSD BE'!$AM$11+'TUSD BF'!$AM$11+'TUSD CVA'!$AM$11)*1</f>
        <v>2263.994888127495</v>
      </c>
      <c r="AA28" s="4">
        <f>('TE BE'!$AB$5+'TE BF'!$AB$5+'TE CVA'!$AB$5)*1</f>
        <v>191.00751406315655</v>
      </c>
      <c r="AB28" s="4">
        <f>$K$28*$V$28</f>
        <v>0</v>
      </c>
      <c r="AC28" s="4">
        <f>$M$28*$W$28</f>
        <v>3890.3072399999996</v>
      </c>
      <c r="AD28" s="4">
        <f>$O$28*$X$28</f>
        <v>601.27035000000001</v>
      </c>
      <c r="AE28" s="4">
        <f>$K$28*$Y$28</f>
        <v>0</v>
      </c>
      <c r="AF28" s="4">
        <f ca="1">$M$28*$Z$28</f>
        <v>5616.971317444315</v>
      </c>
      <c r="AG28" s="4">
        <f>$O$28*$AA$28</f>
        <v>473.88964239069139</v>
      </c>
    </row>
    <row r="29" spans="1:33" ht="11.25" customHeight="1" x14ac:dyDescent="0.3">
      <c r="A29" s="3" t="s">
        <v>21</v>
      </c>
      <c r="B29" s="3" t="s">
        <v>35</v>
      </c>
      <c r="C29" s="3" t="s">
        <v>36</v>
      </c>
      <c r="D29" s="3" t="s">
        <v>39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44531</v>
      </c>
      <c r="J29" s="4">
        <v>0</v>
      </c>
      <c r="K29" s="4">
        <v>0</v>
      </c>
      <c r="L29" s="4">
        <v>3.2309999999999999</v>
      </c>
      <c r="M29" s="4">
        <v>3.2309999999999999</v>
      </c>
      <c r="N29" s="4">
        <v>3.2309999999999999</v>
      </c>
      <c r="O29" s="4">
        <v>3.2309999999999999</v>
      </c>
      <c r="P29" s="4">
        <v>0</v>
      </c>
      <c r="Q29" s="3" t="s">
        <v>26</v>
      </c>
      <c r="R29" s="3">
        <v>0</v>
      </c>
      <c r="S29" s="4">
        <v>0</v>
      </c>
      <c r="T29" s="4">
        <v>7</v>
      </c>
      <c r="U29" s="4">
        <v>50</v>
      </c>
      <c r="V29" s="4">
        <f>IF(ISERROR(VLOOKUP($S$29,'TAR FIN'!$A$1:$O$88,15,0)),0,VLOOKUP($S$29,'TAR FIN'!$A$1:$O$88,15,0))</f>
        <v>0</v>
      </c>
      <c r="W29" s="4">
        <f>IF(ISERROR(VLOOKUP($T$29,'TAR FIN'!$A$1:$O$88,15,0)),0,VLOOKUP($T$29,'TAR FIN'!$A$1:$O$88,15,0))</f>
        <v>1568.04</v>
      </c>
      <c r="X29" s="4">
        <f>IF(ISERROR(VLOOKUP($U$29,'TAR FIN'!$A$1:$O$88,15,0)),0,VLOOKUP($U$29,'TAR FIN'!$A$1:$O$88,15,0))</f>
        <v>242.35</v>
      </c>
      <c r="Y29" s="4"/>
      <c r="Z29" s="4">
        <f ca="1">('TUSD BE'!$AM$11+'TUSD BF'!$AM$11+'TUSD CVA'!$AM$11)*1</f>
        <v>2263.994888127495</v>
      </c>
      <c r="AA29" s="4">
        <f>('TE BE'!$AB$5+'TE BF'!$AB$5+'TE CVA'!$AB$5)*1</f>
        <v>191.00751406315655</v>
      </c>
      <c r="AB29" s="4">
        <f>$K$29*$V$29</f>
        <v>0</v>
      </c>
      <c r="AC29" s="4">
        <f>$M$29*$W$29</f>
        <v>5066.3372399999998</v>
      </c>
      <c r="AD29" s="4">
        <f>$O$29*$X$29</f>
        <v>783.03284999999994</v>
      </c>
      <c r="AE29" s="4">
        <f>$K$29*$Y$29</f>
        <v>0</v>
      </c>
      <c r="AF29" s="4">
        <f ca="1">$M$29*$Z$29</f>
        <v>7314.9674835399355</v>
      </c>
      <c r="AG29" s="4">
        <f>$O$29*$AA$29</f>
        <v>617.14527793805883</v>
      </c>
    </row>
    <row r="30" spans="1:33" ht="11.25" customHeight="1" x14ac:dyDescent="0.3">
      <c r="A30" s="3" t="s">
        <v>21</v>
      </c>
      <c r="B30" s="3" t="s">
        <v>35</v>
      </c>
      <c r="C30" s="3" t="s">
        <v>36</v>
      </c>
      <c r="D30" s="3" t="s">
        <v>39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44562</v>
      </c>
      <c r="J30" s="4">
        <v>0</v>
      </c>
      <c r="K30" s="4">
        <v>0</v>
      </c>
      <c r="L30" s="4">
        <v>3.2650000000000001</v>
      </c>
      <c r="M30" s="4">
        <v>3.2650000000000001</v>
      </c>
      <c r="N30" s="4">
        <v>3.2650000000000001</v>
      </c>
      <c r="O30" s="4">
        <v>3.2650000000000001</v>
      </c>
      <c r="P30" s="4">
        <v>0</v>
      </c>
      <c r="Q30" s="3" t="s">
        <v>26</v>
      </c>
      <c r="R30" s="3">
        <v>0</v>
      </c>
      <c r="S30" s="4">
        <v>0</v>
      </c>
      <c r="T30" s="4">
        <v>7</v>
      </c>
      <c r="U30" s="4">
        <v>50</v>
      </c>
      <c r="V30" s="4">
        <f>IF(ISERROR(VLOOKUP($S$30,'TAR FIN'!$A$1:$O$88,15,0)),0,VLOOKUP($S$30,'TAR FIN'!$A$1:$O$88,15,0))</f>
        <v>0</v>
      </c>
      <c r="W30" s="4">
        <f>IF(ISERROR(VLOOKUP($T$30,'TAR FIN'!$A$1:$O$88,15,0)),0,VLOOKUP($T$30,'TAR FIN'!$A$1:$O$88,15,0))</f>
        <v>1568.04</v>
      </c>
      <c r="X30" s="4">
        <f>IF(ISERROR(VLOOKUP($U$30,'TAR FIN'!$A$1:$O$88,15,0)),0,VLOOKUP($U$30,'TAR FIN'!$A$1:$O$88,15,0))</f>
        <v>242.35</v>
      </c>
      <c r="Y30" s="4"/>
      <c r="Z30" s="4">
        <f ca="1">('TUSD BE'!$AM$11+'TUSD BF'!$AM$11+'TUSD CVA'!$AM$11)*1</f>
        <v>2263.994888127495</v>
      </c>
      <c r="AA30" s="4">
        <f>('TE BE'!$AB$5+'TE BF'!$AB$5+'TE CVA'!$AB$5)*1</f>
        <v>191.00751406315655</v>
      </c>
      <c r="AB30" s="4">
        <f>$K$30*$V$30</f>
        <v>0</v>
      </c>
      <c r="AC30" s="4">
        <f>$M$30*$W$30</f>
        <v>5119.6505999999999</v>
      </c>
      <c r="AD30" s="4">
        <f>$O$30*$X$30</f>
        <v>791.27274999999997</v>
      </c>
      <c r="AE30" s="4">
        <f>$K$30*$Y$30</f>
        <v>0</v>
      </c>
      <c r="AF30" s="4">
        <f ca="1">$M$30*$Z$30</f>
        <v>7391.9433097362717</v>
      </c>
      <c r="AG30" s="4">
        <f>$O$30*$AA$30</f>
        <v>623.63953341620618</v>
      </c>
    </row>
    <row r="31" spans="1:33" ht="11.25" customHeight="1" x14ac:dyDescent="0.3">
      <c r="A31" s="3" t="s">
        <v>21</v>
      </c>
      <c r="B31" s="3" t="s">
        <v>35</v>
      </c>
      <c r="C31" s="3" t="s">
        <v>36</v>
      </c>
      <c r="D31" s="3" t="s">
        <v>39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44593</v>
      </c>
      <c r="J31" s="4">
        <v>0</v>
      </c>
      <c r="K31" s="4">
        <v>0</v>
      </c>
      <c r="L31" s="4">
        <v>3.0550000000000002</v>
      </c>
      <c r="M31" s="4">
        <v>3.0550000000000002</v>
      </c>
      <c r="N31" s="4">
        <v>3.0550000000000002</v>
      </c>
      <c r="O31" s="4">
        <v>3.0550000000000002</v>
      </c>
      <c r="P31" s="4">
        <v>0</v>
      </c>
      <c r="Q31" s="3" t="s">
        <v>26</v>
      </c>
      <c r="R31" s="3">
        <v>0</v>
      </c>
      <c r="S31" s="4">
        <v>0</v>
      </c>
      <c r="T31" s="4">
        <v>7</v>
      </c>
      <c r="U31" s="4">
        <v>50</v>
      </c>
      <c r="V31" s="4">
        <f>IF(ISERROR(VLOOKUP($S$31,'TAR FIN'!$A$1:$O$88,15,0)),0,VLOOKUP($S$31,'TAR FIN'!$A$1:$O$88,15,0))</f>
        <v>0</v>
      </c>
      <c r="W31" s="4">
        <f>IF(ISERROR(VLOOKUP($T$31,'TAR FIN'!$A$1:$O$88,15,0)),0,VLOOKUP($T$31,'TAR FIN'!$A$1:$O$88,15,0))</f>
        <v>1568.04</v>
      </c>
      <c r="X31" s="4">
        <f>IF(ISERROR(VLOOKUP($U$31,'TAR FIN'!$A$1:$O$88,15,0)),0,VLOOKUP($U$31,'TAR FIN'!$A$1:$O$88,15,0))</f>
        <v>242.35</v>
      </c>
      <c r="Y31" s="4"/>
      <c r="Z31" s="4">
        <f ca="1">('TUSD BE'!$AM$11+'TUSD BF'!$AM$11+'TUSD CVA'!$AM$11)*1</f>
        <v>2263.994888127495</v>
      </c>
      <c r="AA31" s="4">
        <f>('TE BE'!$AB$5+'TE BF'!$AB$5+'TE CVA'!$AB$5)*1</f>
        <v>191.00751406315655</v>
      </c>
      <c r="AB31" s="4">
        <f>$K$31*$V$31</f>
        <v>0</v>
      </c>
      <c r="AC31" s="4">
        <f>$M$31*$W$31</f>
        <v>4790.3622000000005</v>
      </c>
      <c r="AD31" s="4">
        <f>$O$31*$X$31</f>
        <v>740.37925000000007</v>
      </c>
      <c r="AE31" s="4">
        <f>$K$31*$Y$31</f>
        <v>0</v>
      </c>
      <c r="AF31" s="4">
        <f ca="1">$M$31*$Z$31</f>
        <v>6916.5043832294978</v>
      </c>
      <c r="AG31" s="4">
        <f>$O$31*$AA$31</f>
        <v>583.52795546294328</v>
      </c>
    </row>
    <row r="32" spans="1:33" ht="11.25" customHeight="1" x14ac:dyDescent="0.3">
      <c r="A32" s="3" t="s">
        <v>21</v>
      </c>
      <c r="B32" s="3" t="s">
        <v>35</v>
      </c>
      <c r="C32" s="3" t="s">
        <v>36</v>
      </c>
      <c r="D32" s="3" t="s">
        <v>39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44621</v>
      </c>
      <c r="J32" s="4">
        <v>0</v>
      </c>
      <c r="K32" s="4">
        <v>0</v>
      </c>
      <c r="L32" s="4">
        <v>2.8220000000000001</v>
      </c>
      <c r="M32" s="4">
        <v>2.8220000000000001</v>
      </c>
      <c r="N32" s="4">
        <v>2.8220000000000001</v>
      </c>
      <c r="O32" s="4">
        <v>2.8220000000000001</v>
      </c>
      <c r="P32" s="4">
        <v>0</v>
      </c>
      <c r="Q32" s="3" t="s">
        <v>26</v>
      </c>
      <c r="R32" s="3">
        <v>0</v>
      </c>
      <c r="S32" s="4">
        <v>0</v>
      </c>
      <c r="T32" s="4">
        <v>7</v>
      </c>
      <c r="U32" s="4">
        <v>50</v>
      </c>
      <c r="V32" s="4">
        <f>IF(ISERROR(VLOOKUP($S$32,'TAR FIN'!$A$1:$O$88,15,0)),0,VLOOKUP($S$32,'TAR FIN'!$A$1:$O$88,15,0))</f>
        <v>0</v>
      </c>
      <c r="W32" s="4">
        <f>IF(ISERROR(VLOOKUP($T$32,'TAR FIN'!$A$1:$O$88,15,0)),0,VLOOKUP($T$32,'TAR FIN'!$A$1:$O$88,15,0))</f>
        <v>1568.04</v>
      </c>
      <c r="X32" s="4">
        <f>IF(ISERROR(VLOOKUP($U$32,'TAR FIN'!$A$1:$O$88,15,0)),0,VLOOKUP($U$32,'TAR FIN'!$A$1:$O$88,15,0))</f>
        <v>242.35</v>
      </c>
      <c r="Y32" s="4"/>
      <c r="Z32" s="4">
        <f ca="1">('TUSD BE'!$AM$11+'TUSD BF'!$AM$11+'TUSD CVA'!$AM$11)*1</f>
        <v>2263.994888127495</v>
      </c>
      <c r="AA32" s="4">
        <f>('TE BE'!$AB$5+'TE BF'!$AB$5+'TE CVA'!$AB$5)*1</f>
        <v>191.00751406315655</v>
      </c>
      <c r="AB32" s="4">
        <f>$K$32*$V$32</f>
        <v>0</v>
      </c>
      <c r="AC32" s="4">
        <f>$M$32*$W$32</f>
        <v>4425.0088800000003</v>
      </c>
      <c r="AD32" s="4">
        <f>$O$32*$X$32</f>
        <v>683.9117</v>
      </c>
      <c r="AE32" s="4">
        <f>$K$32*$Y$32</f>
        <v>0</v>
      </c>
      <c r="AF32" s="4">
        <f ca="1">$M$32*$Z$32</f>
        <v>6388.9935742957905</v>
      </c>
      <c r="AG32" s="4">
        <f>$O$32*$AA$32</f>
        <v>539.02320468622781</v>
      </c>
    </row>
    <row r="33" spans="1:33" ht="11.25" customHeight="1" x14ac:dyDescent="0.3">
      <c r="A33" s="3" t="s">
        <v>21</v>
      </c>
      <c r="B33" s="3" t="s">
        <v>35</v>
      </c>
      <c r="C33" s="3" t="s">
        <v>36</v>
      </c>
      <c r="D33" s="3" t="s">
        <v>39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44652</v>
      </c>
      <c r="J33" s="4">
        <v>0</v>
      </c>
      <c r="K33" s="4">
        <v>0</v>
      </c>
      <c r="L33" s="4">
        <v>2.5750000000000002</v>
      </c>
      <c r="M33" s="4">
        <v>2.5750000000000002</v>
      </c>
      <c r="N33" s="4">
        <v>2.5750000000000002</v>
      </c>
      <c r="O33" s="4">
        <v>2.5750000000000002</v>
      </c>
      <c r="P33" s="4">
        <v>0</v>
      </c>
      <c r="Q33" s="3" t="s">
        <v>26</v>
      </c>
      <c r="R33" s="3">
        <v>0</v>
      </c>
      <c r="S33" s="4">
        <v>0</v>
      </c>
      <c r="T33" s="4">
        <v>7</v>
      </c>
      <c r="U33" s="4">
        <v>50</v>
      </c>
      <c r="V33" s="4">
        <f>IF(ISERROR(VLOOKUP($S$33,'TAR FIN'!$A$1:$O$88,15,0)),0,VLOOKUP($S$33,'TAR FIN'!$A$1:$O$88,15,0))</f>
        <v>0</v>
      </c>
      <c r="W33" s="4">
        <f>IF(ISERROR(VLOOKUP($T$33,'TAR FIN'!$A$1:$O$88,15,0)),0,VLOOKUP($T$33,'TAR FIN'!$A$1:$O$88,15,0))</f>
        <v>1568.04</v>
      </c>
      <c r="X33" s="4">
        <f>IF(ISERROR(VLOOKUP($U$33,'TAR FIN'!$A$1:$O$88,15,0)),0,VLOOKUP($U$33,'TAR FIN'!$A$1:$O$88,15,0))</f>
        <v>242.35</v>
      </c>
      <c r="Y33" s="4"/>
      <c r="Z33" s="4">
        <f ca="1">('TUSD BE'!$AM$11+'TUSD BF'!$AM$11+'TUSD CVA'!$AM$11)*1</f>
        <v>2263.994888127495</v>
      </c>
      <c r="AA33" s="4">
        <f>('TE BE'!$AB$5+'TE BF'!$AB$5+'TE CVA'!$AB$5)*1</f>
        <v>191.00751406315655</v>
      </c>
      <c r="AB33" s="4">
        <f>$K$33*$V$33</f>
        <v>0</v>
      </c>
      <c r="AC33" s="4">
        <f>$M$33*$W$33</f>
        <v>4037.703</v>
      </c>
      <c r="AD33" s="4">
        <f>$O$33*$X$33</f>
        <v>624.05124999999998</v>
      </c>
      <c r="AE33" s="4">
        <f>$K$33*$Y$33</f>
        <v>0</v>
      </c>
      <c r="AF33" s="4">
        <f ca="1">$M$33*$Z$33</f>
        <v>5829.7868369282996</v>
      </c>
      <c r="AG33" s="4">
        <f>$O$33*$AA$33</f>
        <v>491.84434871262818</v>
      </c>
    </row>
    <row r="34" spans="1:33" ht="11.25" customHeight="1" x14ac:dyDescent="0.3">
      <c r="A34" s="3" t="s">
        <v>21</v>
      </c>
      <c r="B34" s="3" t="s">
        <v>35</v>
      </c>
      <c r="C34" s="3" t="s">
        <v>36</v>
      </c>
      <c r="D34" s="3" t="s">
        <v>39</v>
      </c>
      <c r="E34" s="3" t="s">
        <v>25</v>
      </c>
      <c r="F34" s="3" t="s">
        <v>25</v>
      </c>
      <c r="G34" s="3" t="s">
        <v>25</v>
      </c>
      <c r="H34" s="3" t="s">
        <v>37</v>
      </c>
      <c r="I34" s="6">
        <v>44682</v>
      </c>
      <c r="J34" s="4">
        <v>0</v>
      </c>
      <c r="K34" s="4">
        <v>0</v>
      </c>
      <c r="L34" s="4">
        <v>2.5649999999999999</v>
      </c>
      <c r="M34" s="4">
        <v>2.5649999999999999</v>
      </c>
      <c r="N34" s="4">
        <v>2.5649999999999999</v>
      </c>
      <c r="O34" s="4">
        <v>2.5649999999999999</v>
      </c>
      <c r="P34" s="4">
        <v>0</v>
      </c>
      <c r="Q34" s="3" t="s">
        <v>26</v>
      </c>
      <c r="R34" s="3">
        <v>0</v>
      </c>
      <c r="S34" s="4">
        <v>0</v>
      </c>
      <c r="T34" s="4">
        <v>7</v>
      </c>
      <c r="U34" s="4">
        <v>50</v>
      </c>
      <c r="V34" s="4">
        <f>IF(ISERROR(VLOOKUP($S$34,'TAR FIN'!$A$1:$O$88,15,0)),0,VLOOKUP($S$34,'TAR FIN'!$A$1:$O$88,15,0))</f>
        <v>0</v>
      </c>
      <c r="W34" s="4">
        <f>IF(ISERROR(VLOOKUP($T$34,'TAR FIN'!$A$1:$O$88,15,0)),0,VLOOKUP($T$34,'TAR FIN'!$A$1:$O$88,15,0))</f>
        <v>1568.04</v>
      </c>
      <c r="X34" s="4">
        <f>IF(ISERROR(VLOOKUP($U$34,'TAR FIN'!$A$1:$O$88,15,0)),0,VLOOKUP($U$34,'TAR FIN'!$A$1:$O$88,15,0))</f>
        <v>242.35</v>
      </c>
      <c r="Y34" s="4"/>
      <c r="Z34" s="4">
        <f ca="1">('TUSD BE'!$AM$11+'TUSD BF'!$AM$11+'TUSD CVA'!$AM$11)*1</f>
        <v>2263.994888127495</v>
      </c>
      <c r="AA34" s="4">
        <f>('TE BE'!$AB$5+'TE BF'!$AB$5+'TE CVA'!$AB$5)*1</f>
        <v>191.00751406315655</v>
      </c>
      <c r="AB34" s="4">
        <f>$K$34*$V$34</f>
        <v>0</v>
      </c>
      <c r="AC34" s="4">
        <f>$M$34*$W$34</f>
        <v>4022.0225999999998</v>
      </c>
      <c r="AD34" s="4">
        <f>$O$34*$X$34</f>
        <v>621.62774999999999</v>
      </c>
      <c r="AE34" s="4">
        <f>$K$34*$Y$34</f>
        <v>0</v>
      </c>
      <c r="AF34" s="4">
        <f ca="1">$M$34*$Z$34</f>
        <v>5807.1468880470247</v>
      </c>
      <c r="AG34" s="4">
        <f>$O$34*$AA$34</f>
        <v>489.93427357199653</v>
      </c>
    </row>
    <row r="35" spans="1:33" ht="11.25" customHeight="1" x14ac:dyDescent="0.3">
      <c r="A35" s="3" t="s">
        <v>21</v>
      </c>
      <c r="B35" s="3" t="s">
        <v>35</v>
      </c>
      <c r="C35" s="3" t="s">
        <v>36</v>
      </c>
      <c r="D35" s="3" t="s">
        <v>39</v>
      </c>
      <c r="E35" s="3" t="s">
        <v>25</v>
      </c>
      <c r="F35" s="3" t="s">
        <v>25</v>
      </c>
      <c r="G35" s="3" t="s">
        <v>25</v>
      </c>
      <c r="H35" s="3" t="s">
        <v>37</v>
      </c>
      <c r="I35" s="6">
        <v>44713</v>
      </c>
      <c r="J35" s="4">
        <v>0</v>
      </c>
      <c r="K35" s="4">
        <v>0</v>
      </c>
      <c r="L35" s="4">
        <v>2.3119999999999998</v>
      </c>
      <c r="M35" s="4">
        <v>2.3119999999999998</v>
      </c>
      <c r="N35" s="4">
        <v>2.3119999999999998</v>
      </c>
      <c r="O35" s="4">
        <v>2.3119999999999998</v>
      </c>
      <c r="P35" s="4">
        <v>0</v>
      </c>
      <c r="Q35" s="3" t="s">
        <v>26</v>
      </c>
      <c r="R35" s="3">
        <v>0</v>
      </c>
      <c r="S35" s="4">
        <v>0</v>
      </c>
      <c r="T35" s="4">
        <v>7</v>
      </c>
      <c r="U35" s="4">
        <v>50</v>
      </c>
      <c r="V35" s="4">
        <f>IF(ISERROR(VLOOKUP($S$35,'TAR FIN'!$A$1:$O$88,15,0)),0,VLOOKUP($S$35,'TAR FIN'!$A$1:$O$88,15,0))</f>
        <v>0</v>
      </c>
      <c r="W35" s="4">
        <f>IF(ISERROR(VLOOKUP($T$35,'TAR FIN'!$A$1:$O$88,15,0)),0,VLOOKUP($T$35,'TAR FIN'!$A$1:$O$88,15,0))</f>
        <v>1568.04</v>
      </c>
      <c r="X35" s="4">
        <f>IF(ISERROR(VLOOKUP($U$35,'TAR FIN'!$A$1:$O$88,15,0)),0,VLOOKUP($U$35,'TAR FIN'!$A$1:$O$88,15,0))</f>
        <v>242.35</v>
      </c>
      <c r="Y35" s="4"/>
      <c r="Z35" s="4">
        <f ca="1">('TUSD BE'!$AM$11+'TUSD BF'!$AM$11+'TUSD CVA'!$AM$11)*1</f>
        <v>2263.994888127495</v>
      </c>
      <c r="AA35" s="4">
        <f>('TE BE'!$AB$5+'TE BF'!$AB$5+'TE CVA'!$AB$5)*1</f>
        <v>191.00751406315655</v>
      </c>
      <c r="AB35" s="4">
        <f>$K$35*$V$35</f>
        <v>0</v>
      </c>
      <c r="AC35" s="4">
        <f>$M$35*$W$35</f>
        <v>3625.3084799999997</v>
      </c>
      <c r="AD35" s="4">
        <f>$O$35*$X$35</f>
        <v>560.31319999999994</v>
      </c>
      <c r="AE35" s="4">
        <f>$K$35*$Y$35</f>
        <v>0</v>
      </c>
      <c r="AF35" s="4">
        <f ca="1">$M$35*$Z$35</f>
        <v>5234.3561813507677</v>
      </c>
      <c r="AG35" s="4">
        <f>$O$35*$AA$35</f>
        <v>441.60937251401793</v>
      </c>
    </row>
    <row r="36" spans="1:33" ht="11.25" customHeight="1" x14ac:dyDescent="0.3">
      <c r="A36" s="3" t="s">
        <v>21</v>
      </c>
      <c r="B36" s="3" t="s">
        <v>35</v>
      </c>
      <c r="C36" s="3" t="s">
        <v>36</v>
      </c>
      <c r="D36" s="3" t="s">
        <v>39</v>
      </c>
      <c r="E36" s="3" t="s">
        <v>25</v>
      </c>
      <c r="F36" s="3" t="s">
        <v>25</v>
      </c>
      <c r="G36" s="3" t="s">
        <v>25</v>
      </c>
      <c r="H36" s="3" t="s">
        <v>37</v>
      </c>
      <c r="I36" s="6">
        <v>44743</v>
      </c>
      <c r="J36" s="4">
        <v>0</v>
      </c>
      <c r="K36" s="4">
        <v>0</v>
      </c>
      <c r="L36" s="4">
        <v>2.4049999999999998</v>
      </c>
      <c r="M36" s="4">
        <v>2.4049999999999998</v>
      </c>
      <c r="N36" s="4">
        <v>2.4049999999999998</v>
      </c>
      <c r="O36" s="4">
        <v>2.4049999999999998</v>
      </c>
      <c r="P36" s="4">
        <v>0</v>
      </c>
      <c r="Q36" s="3" t="s">
        <v>26</v>
      </c>
      <c r="R36" s="3">
        <v>0</v>
      </c>
      <c r="S36" s="4">
        <v>0</v>
      </c>
      <c r="T36" s="4">
        <v>7</v>
      </c>
      <c r="U36" s="4">
        <v>50</v>
      </c>
      <c r="V36" s="4">
        <f>IF(ISERROR(VLOOKUP($S$36,'TAR FIN'!$A$1:$O$88,15,0)),0,VLOOKUP($S$36,'TAR FIN'!$A$1:$O$88,15,0))</f>
        <v>0</v>
      </c>
      <c r="W36" s="4">
        <f>IF(ISERROR(VLOOKUP($T$36,'TAR FIN'!$A$1:$O$88,15,0)),0,VLOOKUP($T$36,'TAR FIN'!$A$1:$O$88,15,0))</f>
        <v>1568.04</v>
      </c>
      <c r="X36" s="4">
        <f>IF(ISERROR(VLOOKUP($U$36,'TAR FIN'!$A$1:$O$88,15,0)),0,VLOOKUP($U$36,'TAR FIN'!$A$1:$O$88,15,0))</f>
        <v>242.35</v>
      </c>
      <c r="Y36" s="4"/>
      <c r="Z36" s="4">
        <f ca="1">('TUSD BE'!$AM$11+'TUSD BF'!$AM$11+'TUSD CVA'!$AM$11)*1</f>
        <v>2263.994888127495</v>
      </c>
      <c r="AA36" s="4">
        <f>('TE BE'!$AB$5+'TE BF'!$AB$5+'TE CVA'!$AB$5)*1</f>
        <v>191.00751406315655</v>
      </c>
      <c r="AB36" s="4">
        <f>$K$36*$V$36</f>
        <v>0</v>
      </c>
      <c r="AC36" s="4">
        <f>$M$36*$W$36</f>
        <v>3771.1361999999995</v>
      </c>
      <c r="AD36" s="4">
        <f>$O$36*$X$36</f>
        <v>582.85174999999992</v>
      </c>
      <c r="AE36" s="4">
        <f>$K$36*$Y$36</f>
        <v>0</v>
      </c>
      <c r="AF36" s="4">
        <f ca="1">$M$36*$Z$36</f>
        <v>5444.9077059466254</v>
      </c>
      <c r="AG36" s="4">
        <f>$O$36*$AA$36</f>
        <v>459.37307132189147</v>
      </c>
    </row>
    <row r="37" spans="1:33" ht="11.25" customHeight="1" x14ac:dyDescent="0.3">
      <c r="A37" s="3" t="s">
        <v>55</v>
      </c>
      <c r="B37" s="3" t="s">
        <v>35</v>
      </c>
      <c r="C37" s="3" t="s">
        <v>36</v>
      </c>
      <c r="D37" s="3" t="s">
        <v>39</v>
      </c>
      <c r="E37" s="3" t="s">
        <v>25</v>
      </c>
      <c r="F37" s="3" t="s">
        <v>25</v>
      </c>
      <c r="G37" s="3" t="s">
        <v>25</v>
      </c>
      <c r="H37" s="3" t="s">
        <v>37</v>
      </c>
      <c r="I37" s="6">
        <v>44774</v>
      </c>
      <c r="J37" s="4">
        <v>0</v>
      </c>
      <c r="K37" s="4">
        <v>0</v>
      </c>
      <c r="L37" s="4">
        <v>2.4049999999999998</v>
      </c>
      <c r="M37" s="4">
        <v>2.4049999999999998</v>
      </c>
      <c r="N37" s="4">
        <v>2.4049999999999998</v>
      </c>
      <c r="O37" s="4">
        <v>2.4049999999999998</v>
      </c>
      <c r="P37" s="4">
        <v>0</v>
      </c>
      <c r="Q37" s="3" t="s">
        <v>26</v>
      </c>
      <c r="R37" s="3">
        <v>0</v>
      </c>
      <c r="S37" s="4">
        <v>0</v>
      </c>
      <c r="T37" s="4">
        <v>7</v>
      </c>
      <c r="U37" s="4">
        <v>50</v>
      </c>
      <c r="V37" s="4">
        <f>IF(ISERROR(VLOOKUP($S$37,'TAR FIN'!$A$1:$O$88,15,0)),0,VLOOKUP($S$37,'TAR FIN'!$A$1:$O$88,15,0))</f>
        <v>0</v>
      </c>
      <c r="W37" s="4">
        <f>IF(ISERROR(VLOOKUP($T$37,'TAR FIN'!$A$1:$O$88,15,0)),0,VLOOKUP($T$37,'TAR FIN'!$A$1:$O$88,15,0))</f>
        <v>1568.04</v>
      </c>
      <c r="X37" s="4">
        <f>IF(ISERROR(VLOOKUP($U$37,'TAR FIN'!$A$1:$O$88,15,0)),0,VLOOKUP($U$37,'TAR FIN'!$A$1:$O$88,15,0))</f>
        <v>242.35</v>
      </c>
      <c r="Y37" s="4"/>
      <c r="Z37" s="4">
        <f ca="1">('TUSD BE'!$AM$11+'TUSD BF'!$AM$11+'TUSD CVA'!$AM$11)*1</f>
        <v>2263.994888127495</v>
      </c>
      <c r="AA37" s="4">
        <f>('TE BE'!$AB$5+'TE BF'!$AB$5+'TE CVA'!$AB$5)*1</f>
        <v>191.00751406315655</v>
      </c>
      <c r="AB37" s="4">
        <f>$K$37*$V$37</f>
        <v>0</v>
      </c>
      <c r="AC37" s="4">
        <f>$M$37*$W$37</f>
        <v>3771.1361999999995</v>
      </c>
      <c r="AD37" s="4">
        <f>$O$37*$X$37</f>
        <v>582.85174999999992</v>
      </c>
      <c r="AE37" s="4">
        <f>$K$37*$Y$37</f>
        <v>0</v>
      </c>
      <c r="AF37" s="4">
        <f ca="1">$M$37*$Z$37</f>
        <v>5444.9077059466254</v>
      </c>
      <c r="AG37" s="4">
        <f>$O$37*$AA$37</f>
        <v>459.37307132189147</v>
      </c>
    </row>
    <row r="38" spans="1:33" ht="11.25" customHeight="1" x14ac:dyDescent="0.3">
      <c r="A38" s="3" t="s">
        <v>21</v>
      </c>
      <c r="B38" s="3" t="s">
        <v>35</v>
      </c>
      <c r="C38" s="3" t="s">
        <v>36</v>
      </c>
      <c r="D38" s="3" t="s">
        <v>34</v>
      </c>
      <c r="E38" s="3" t="s">
        <v>25</v>
      </c>
      <c r="F38" s="3" t="s">
        <v>25</v>
      </c>
      <c r="G38" s="3" t="s">
        <v>25</v>
      </c>
      <c r="H38" s="3" t="s">
        <v>38</v>
      </c>
      <c r="I38" s="6">
        <v>44440</v>
      </c>
      <c r="J38" s="4">
        <v>0</v>
      </c>
      <c r="K38" s="4">
        <v>0</v>
      </c>
      <c r="L38" s="4">
        <v>1478.0909999999999</v>
      </c>
      <c r="M38" s="4">
        <v>1478.0909999999999</v>
      </c>
      <c r="N38" s="4">
        <v>1478.0909999999999</v>
      </c>
      <c r="O38" s="4">
        <v>1478.0909999999999</v>
      </c>
      <c r="P38" s="4">
        <v>0</v>
      </c>
      <c r="Q38" s="3" t="s">
        <v>26</v>
      </c>
      <c r="R38" s="3">
        <v>0</v>
      </c>
      <c r="S38" s="4">
        <v>0</v>
      </c>
      <c r="T38" s="4">
        <v>8</v>
      </c>
      <c r="U38" s="4">
        <v>51</v>
      </c>
      <c r="V38" s="4">
        <f>IF(ISERROR(VLOOKUP($S$38,'TAR FIN'!$A$1:$O$88,15,0)),0,VLOOKUP($S$38,'TAR FIN'!$A$1:$O$88,15,0))</f>
        <v>0</v>
      </c>
      <c r="W38" s="4">
        <f>IF(ISERROR(VLOOKUP($T$38,'TAR FIN'!$A$1:$O$88,15,0)),0,VLOOKUP($T$38,'TAR FIN'!$A$1:$O$88,15,0))</f>
        <v>61.71</v>
      </c>
      <c r="X38" s="4">
        <f>IF(ISERROR(VLOOKUP($U$38,'TAR FIN'!$A$1:$O$88,15,0)),0,VLOOKUP($U$38,'TAR FIN'!$A$1:$O$88,15,0))</f>
        <v>242.35</v>
      </c>
      <c r="Y38" s="4"/>
      <c r="Z38" s="4">
        <f ca="1">('TUSD BE'!$AM$12+'TUSD BF'!$AM$12+'TUSD CVA'!$AM$12)*1</f>
        <v>88.695192613955996</v>
      </c>
      <c r="AA38" s="4">
        <f>('TE BE'!$AB$6+'TE BF'!$AB$6+'TE CVA'!$AB$6)*1</f>
        <v>191.00751406315655</v>
      </c>
      <c r="AB38" s="4">
        <f>$K$38*$V$38</f>
        <v>0</v>
      </c>
      <c r="AC38" s="4">
        <f>$M$38*$W$38</f>
        <v>91212.995609999998</v>
      </c>
      <c r="AD38" s="4">
        <f>$O$38*$X$38</f>
        <v>358215.35384999996</v>
      </c>
      <c r="AE38" s="4">
        <f>$K$38*$Y$38</f>
        <v>0</v>
      </c>
      <c r="AF38" s="4">
        <f ca="1">$M$38*$Z$38</f>
        <v>131099.56594595482</v>
      </c>
      <c r="AG38" s="4">
        <f>$O$38*$AA$38</f>
        <v>282326.48746912513</v>
      </c>
    </row>
    <row r="39" spans="1:33" ht="11.25" customHeight="1" x14ac:dyDescent="0.3">
      <c r="A39" s="3" t="s">
        <v>21</v>
      </c>
      <c r="B39" s="3" t="s">
        <v>35</v>
      </c>
      <c r="C39" s="3" t="s">
        <v>36</v>
      </c>
      <c r="D39" s="3" t="s">
        <v>34</v>
      </c>
      <c r="E39" s="3" t="s">
        <v>25</v>
      </c>
      <c r="F39" s="3" t="s">
        <v>25</v>
      </c>
      <c r="G39" s="3" t="s">
        <v>25</v>
      </c>
      <c r="H39" s="3" t="s">
        <v>38</v>
      </c>
      <c r="I39" s="6">
        <v>44470</v>
      </c>
      <c r="J39" s="4">
        <v>0</v>
      </c>
      <c r="K39" s="4">
        <v>0</v>
      </c>
      <c r="L39" s="4">
        <v>1488.9290000000001</v>
      </c>
      <c r="M39" s="4">
        <v>1488.9290000000001</v>
      </c>
      <c r="N39" s="4">
        <v>1488.9290000000001</v>
      </c>
      <c r="O39" s="4">
        <v>1488.9290000000001</v>
      </c>
      <c r="P39" s="4">
        <v>0</v>
      </c>
      <c r="Q39" s="3" t="s">
        <v>26</v>
      </c>
      <c r="R39" s="3">
        <v>0</v>
      </c>
      <c r="S39" s="4">
        <v>0</v>
      </c>
      <c r="T39" s="4">
        <v>8</v>
      </c>
      <c r="U39" s="4">
        <v>51</v>
      </c>
      <c r="V39" s="4">
        <f>IF(ISERROR(VLOOKUP($S$39,'TAR FIN'!$A$1:$O$88,15,0)),0,VLOOKUP($S$39,'TAR FIN'!$A$1:$O$88,15,0))</f>
        <v>0</v>
      </c>
      <c r="W39" s="4">
        <f>IF(ISERROR(VLOOKUP($T$39,'TAR FIN'!$A$1:$O$88,15,0)),0,VLOOKUP($T$39,'TAR FIN'!$A$1:$O$88,15,0))</f>
        <v>61.71</v>
      </c>
      <c r="X39" s="4">
        <f>IF(ISERROR(VLOOKUP($U$39,'TAR FIN'!$A$1:$O$88,15,0)),0,VLOOKUP($U$39,'TAR FIN'!$A$1:$O$88,15,0))</f>
        <v>242.35</v>
      </c>
      <c r="Y39" s="4"/>
      <c r="Z39" s="4">
        <f ca="1">('TUSD BE'!$AM$12+'TUSD BF'!$AM$12+'TUSD CVA'!$AM$12)*1</f>
        <v>88.695192613955996</v>
      </c>
      <c r="AA39" s="4">
        <f>('TE BE'!$AB$6+'TE BF'!$AB$6+'TE CVA'!$AB$6)*1</f>
        <v>191.00751406315655</v>
      </c>
      <c r="AB39" s="4">
        <f>$K$39*$V$39</f>
        <v>0</v>
      </c>
      <c r="AC39" s="4">
        <f>$M$39*$W$39</f>
        <v>91881.808590000001</v>
      </c>
      <c r="AD39" s="4">
        <f>$O$39*$X$39</f>
        <v>360841.94315000001</v>
      </c>
      <c r="AE39" s="4">
        <f>$K$39*$Y$39</f>
        <v>0</v>
      </c>
      <c r="AF39" s="4">
        <f ca="1">$M$39*$Z$39</f>
        <v>132060.8444435049</v>
      </c>
      <c r="AG39" s="4">
        <f>$O$39*$AA$39</f>
        <v>284396.62690654164</v>
      </c>
    </row>
    <row r="40" spans="1:33" ht="11.25" customHeight="1" x14ac:dyDescent="0.3">
      <c r="A40" s="3" t="s">
        <v>21</v>
      </c>
      <c r="B40" s="3" t="s">
        <v>35</v>
      </c>
      <c r="C40" s="3" t="s">
        <v>36</v>
      </c>
      <c r="D40" s="3" t="s">
        <v>34</v>
      </c>
      <c r="E40" s="3" t="s">
        <v>25</v>
      </c>
      <c r="F40" s="3" t="s">
        <v>25</v>
      </c>
      <c r="G40" s="3" t="s">
        <v>25</v>
      </c>
      <c r="H40" s="3" t="s">
        <v>38</v>
      </c>
      <c r="I40" s="6">
        <v>44501</v>
      </c>
      <c r="J40" s="4">
        <v>0</v>
      </c>
      <c r="K40" s="4">
        <v>0</v>
      </c>
      <c r="L40" s="4">
        <v>1523.521</v>
      </c>
      <c r="M40" s="4">
        <v>1523.521</v>
      </c>
      <c r="N40" s="4">
        <v>1523.521</v>
      </c>
      <c r="O40" s="4">
        <v>1523.521</v>
      </c>
      <c r="P40" s="4">
        <v>0</v>
      </c>
      <c r="Q40" s="3" t="s">
        <v>26</v>
      </c>
      <c r="R40" s="3">
        <v>0</v>
      </c>
      <c r="S40" s="4">
        <v>0</v>
      </c>
      <c r="T40" s="4">
        <v>8</v>
      </c>
      <c r="U40" s="4">
        <v>51</v>
      </c>
      <c r="V40" s="4">
        <f>IF(ISERROR(VLOOKUP($S$40,'TAR FIN'!$A$1:$O$88,15,0)),0,VLOOKUP($S$40,'TAR FIN'!$A$1:$O$88,15,0))</f>
        <v>0</v>
      </c>
      <c r="W40" s="4">
        <f>IF(ISERROR(VLOOKUP($T$40,'TAR FIN'!$A$1:$O$88,15,0)),0,VLOOKUP($T$40,'TAR FIN'!$A$1:$O$88,15,0))</f>
        <v>61.71</v>
      </c>
      <c r="X40" s="4">
        <f>IF(ISERROR(VLOOKUP($U$40,'TAR FIN'!$A$1:$O$88,15,0)),0,VLOOKUP($U$40,'TAR FIN'!$A$1:$O$88,15,0))</f>
        <v>242.35</v>
      </c>
      <c r="Y40" s="4"/>
      <c r="Z40" s="4">
        <f ca="1">('TUSD BE'!$AM$12+'TUSD BF'!$AM$12+'TUSD CVA'!$AM$12)*1</f>
        <v>88.695192613955996</v>
      </c>
      <c r="AA40" s="4">
        <f>('TE BE'!$AB$6+'TE BF'!$AB$6+'TE CVA'!$AB$6)*1</f>
        <v>191.00751406315655</v>
      </c>
      <c r="AB40" s="4">
        <f>$K$40*$V$40</f>
        <v>0</v>
      </c>
      <c r="AC40" s="4">
        <f>$M$40*$W$40</f>
        <v>94016.480909999998</v>
      </c>
      <c r="AD40" s="4">
        <f>$O$40*$X$40</f>
        <v>369225.31435</v>
      </c>
      <c r="AE40" s="4">
        <f>$K$40*$Y$40</f>
        <v>0</v>
      </c>
      <c r="AF40" s="4">
        <f ca="1">$M$40*$Z$40</f>
        <v>135128.98854640685</v>
      </c>
      <c r="AG40" s="4">
        <f>$O$40*$AA$40</f>
        <v>291003.9588330143</v>
      </c>
    </row>
    <row r="41" spans="1:33" ht="11.25" customHeight="1" x14ac:dyDescent="0.3">
      <c r="A41" s="3" t="s">
        <v>21</v>
      </c>
      <c r="B41" s="3" t="s">
        <v>35</v>
      </c>
      <c r="C41" s="3" t="s">
        <v>36</v>
      </c>
      <c r="D41" s="3" t="s">
        <v>34</v>
      </c>
      <c r="E41" s="3" t="s">
        <v>25</v>
      </c>
      <c r="F41" s="3" t="s">
        <v>25</v>
      </c>
      <c r="G41" s="3" t="s">
        <v>25</v>
      </c>
      <c r="H41" s="3" t="s">
        <v>38</v>
      </c>
      <c r="I41" s="6">
        <v>44531</v>
      </c>
      <c r="J41" s="4">
        <v>0</v>
      </c>
      <c r="K41" s="4">
        <v>0</v>
      </c>
      <c r="L41" s="4">
        <v>1590.2850000000001</v>
      </c>
      <c r="M41" s="4">
        <v>1590.2850000000001</v>
      </c>
      <c r="N41" s="4">
        <v>1590.2850000000001</v>
      </c>
      <c r="O41" s="4">
        <v>1590.2850000000001</v>
      </c>
      <c r="P41" s="4">
        <v>0</v>
      </c>
      <c r="Q41" s="3" t="s">
        <v>26</v>
      </c>
      <c r="R41" s="3">
        <v>0</v>
      </c>
      <c r="S41" s="4">
        <v>0</v>
      </c>
      <c r="T41" s="4">
        <v>8</v>
      </c>
      <c r="U41" s="4">
        <v>51</v>
      </c>
      <c r="V41" s="4">
        <f>IF(ISERROR(VLOOKUP($S$41,'TAR FIN'!$A$1:$O$88,15,0)),0,VLOOKUP($S$41,'TAR FIN'!$A$1:$O$88,15,0))</f>
        <v>0</v>
      </c>
      <c r="W41" s="4">
        <f>IF(ISERROR(VLOOKUP($T$41,'TAR FIN'!$A$1:$O$88,15,0)),0,VLOOKUP($T$41,'TAR FIN'!$A$1:$O$88,15,0))</f>
        <v>61.71</v>
      </c>
      <c r="X41" s="4">
        <f>IF(ISERROR(VLOOKUP($U$41,'TAR FIN'!$A$1:$O$88,15,0)),0,VLOOKUP($U$41,'TAR FIN'!$A$1:$O$88,15,0))</f>
        <v>242.35</v>
      </c>
      <c r="Y41" s="4"/>
      <c r="Z41" s="4">
        <f ca="1">('TUSD BE'!$AM$12+'TUSD BF'!$AM$12+'TUSD CVA'!$AM$12)*1</f>
        <v>88.695192613955996</v>
      </c>
      <c r="AA41" s="4">
        <f>('TE BE'!$AB$6+'TE BF'!$AB$6+'TE CVA'!$AB$6)*1</f>
        <v>191.00751406315655</v>
      </c>
      <c r="AB41" s="4">
        <f>$K$41*$V$41</f>
        <v>0</v>
      </c>
      <c r="AC41" s="4">
        <f>$M$41*$W$41</f>
        <v>98136.48735000001</v>
      </c>
      <c r="AD41" s="4">
        <f>$O$41*$X$41</f>
        <v>385405.56975000002</v>
      </c>
      <c r="AE41" s="4">
        <f>$K$41*$Y$41</f>
        <v>0</v>
      </c>
      <c r="AF41" s="4">
        <f ca="1">$M$41*$Z$41</f>
        <v>141050.63438608503</v>
      </c>
      <c r="AG41" s="4">
        <f>$O$41*$AA$41</f>
        <v>303756.38450192695</v>
      </c>
    </row>
    <row r="42" spans="1:33" ht="11.25" customHeight="1" x14ac:dyDescent="0.3">
      <c r="A42" s="3" t="s">
        <v>21</v>
      </c>
      <c r="B42" s="3" t="s">
        <v>35</v>
      </c>
      <c r="C42" s="3" t="s">
        <v>36</v>
      </c>
      <c r="D42" s="3" t="s">
        <v>34</v>
      </c>
      <c r="E42" s="3" t="s">
        <v>25</v>
      </c>
      <c r="F42" s="3" t="s">
        <v>25</v>
      </c>
      <c r="G42" s="3" t="s">
        <v>25</v>
      </c>
      <c r="H42" s="3" t="s">
        <v>38</v>
      </c>
      <c r="I42" s="6">
        <v>44562</v>
      </c>
      <c r="J42" s="4">
        <v>0</v>
      </c>
      <c r="K42" s="4">
        <v>0</v>
      </c>
      <c r="L42" s="4">
        <v>1705.3030000000001</v>
      </c>
      <c r="M42" s="4">
        <v>1705.3030000000001</v>
      </c>
      <c r="N42" s="4">
        <v>1705.3030000000001</v>
      </c>
      <c r="O42" s="4">
        <v>1705.3030000000001</v>
      </c>
      <c r="P42" s="4">
        <v>0</v>
      </c>
      <c r="Q42" s="3" t="s">
        <v>26</v>
      </c>
      <c r="R42" s="3">
        <v>0</v>
      </c>
      <c r="S42" s="4">
        <v>0</v>
      </c>
      <c r="T42" s="4">
        <v>8</v>
      </c>
      <c r="U42" s="4">
        <v>51</v>
      </c>
      <c r="V42" s="4">
        <f>IF(ISERROR(VLOOKUP($S$42,'TAR FIN'!$A$1:$O$88,15,0)),0,VLOOKUP($S$42,'TAR FIN'!$A$1:$O$88,15,0))</f>
        <v>0</v>
      </c>
      <c r="W42" s="4">
        <f>IF(ISERROR(VLOOKUP($T$42,'TAR FIN'!$A$1:$O$88,15,0)),0,VLOOKUP($T$42,'TAR FIN'!$A$1:$O$88,15,0))</f>
        <v>61.71</v>
      </c>
      <c r="X42" s="4">
        <f>IF(ISERROR(VLOOKUP($U$42,'TAR FIN'!$A$1:$O$88,15,0)),0,VLOOKUP($U$42,'TAR FIN'!$A$1:$O$88,15,0))</f>
        <v>242.35</v>
      </c>
      <c r="Y42" s="4"/>
      <c r="Z42" s="4">
        <f ca="1">('TUSD BE'!$AM$12+'TUSD BF'!$AM$12+'TUSD CVA'!$AM$12)*1</f>
        <v>88.695192613955996</v>
      </c>
      <c r="AA42" s="4">
        <f>('TE BE'!$AB$6+'TE BF'!$AB$6+'TE CVA'!$AB$6)*1</f>
        <v>191.00751406315655</v>
      </c>
      <c r="AB42" s="4">
        <f>$K$42*$V$42</f>
        <v>0</v>
      </c>
      <c r="AC42" s="4">
        <f>$M$42*$W$42</f>
        <v>105234.24813000001</v>
      </c>
      <c r="AD42" s="4">
        <f>$O$42*$X$42</f>
        <v>413280.18205</v>
      </c>
      <c r="AE42" s="4">
        <f>$K$42*$Y$42</f>
        <v>0</v>
      </c>
      <c r="AF42" s="4">
        <f ca="1">$M$42*$Z$42</f>
        <v>151252.178050157</v>
      </c>
      <c r="AG42" s="4">
        <f>$O$42*$AA$42</f>
        <v>325725.6867544431</v>
      </c>
    </row>
    <row r="43" spans="1:33" ht="11.25" customHeight="1" x14ac:dyDescent="0.3">
      <c r="A43" s="3" t="s">
        <v>21</v>
      </c>
      <c r="B43" s="3" t="s">
        <v>35</v>
      </c>
      <c r="C43" s="3" t="s">
        <v>36</v>
      </c>
      <c r="D43" s="3" t="s">
        <v>34</v>
      </c>
      <c r="E43" s="3" t="s">
        <v>25</v>
      </c>
      <c r="F43" s="3" t="s">
        <v>25</v>
      </c>
      <c r="G43" s="3" t="s">
        <v>25</v>
      </c>
      <c r="H43" s="3" t="s">
        <v>38</v>
      </c>
      <c r="I43" s="6">
        <v>44593</v>
      </c>
      <c r="J43" s="4">
        <v>0</v>
      </c>
      <c r="K43" s="4">
        <v>0</v>
      </c>
      <c r="L43" s="4">
        <v>1972.8689999999999</v>
      </c>
      <c r="M43" s="4">
        <v>1972.8689999999999</v>
      </c>
      <c r="N43" s="4">
        <v>1972.8689999999999</v>
      </c>
      <c r="O43" s="4">
        <v>1972.8689999999999</v>
      </c>
      <c r="P43" s="4">
        <v>0</v>
      </c>
      <c r="Q43" s="3" t="s">
        <v>26</v>
      </c>
      <c r="R43" s="3">
        <v>0</v>
      </c>
      <c r="S43" s="4">
        <v>0</v>
      </c>
      <c r="T43" s="4">
        <v>8</v>
      </c>
      <c r="U43" s="4">
        <v>51</v>
      </c>
      <c r="V43" s="4">
        <f>IF(ISERROR(VLOOKUP($S$43,'TAR FIN'!$A$1:$O$88,15,0)),0,VLOOKUP($S$43,'TAR FIN'!$A$1:$O$88,15,0))</f>
        <v>0</v>
      </c>
      <c r="W43" s="4">
        <f>IF(ISERROR(VLOOKUP($T$43,'TAR FIN'!$A$1:$O$88,15,0)),0,VLOOKUP($T$43,'TAR FIN'!$A$1:$O$88,15,0))</f>
        <v>61.71</v>
      </c>
      <c r="X43" s="4">
        <f>IF(ISERROR(VLOOKUP($U$43,'TAR FIN'!$A$1:$O$88,15,0)),0,VLOOKUP($U$43,'TAR FIN'!$A$1:$O$88,15,0))</f>
        <v>242.35</v>
      </c>
      <c r="Y43" s="4"/>
      <c r="Z43" s="4">
        <f ca="1">('TUSD BE'!$AM$12+'TUSD BF'!$AM$12+'TUSD CVA'!$AM$12)*1</f>
        <v>88.695192613955996</v>
      </c>
      <c r="AA43" s="4">
        <f>('TE BE'!$AB$6+'TE BF'!$AB$6+'TE CVA'!$AB$6)*1</f>
        <v>191.00751406315655</v>
      </c>
      <c r="AB43" s="4">
        <f>$K$43*$V$43</f>
        <v>0</v>
      </c>
      <c r="AC43" s="4">
        <f>$M$43*$W$43</f>
        <v>121745.74599</v>
      </c>
      <c r="AD43" s="4">
        <f>$O$43*$X$43</f>
        <v>478124.80214999994</v>
      </c>
      <c r="AE43" s="4">
        <f>$K$43*$Y$43</f>
        <v>0</v>
      </c>
      <c r="AF43" s="4">
        <f ca="1">$M$43*$Z$43</f>
        <v>174983.99595710274</v>
      </c>
      <c r="AG43" s="4">
        <f>$O$43*$AA$43</f>
        <v>376832.80326226557</v>
      </c>
    </row>
    <row r="44" spans="1:33" ht="11.25" customHeight="1" x14ac:dyDescent="0.3">
      <c r="A44" s="3" t="s">
        <v>21</v>
      </c>
      <c r="B44" s="3" t="s">
        <v>35</v>
      </c>
      <c r="C44" s="3" t="s">
        <v>36</v>
      </c>
      <c r="D44" s="3" t="s">
        <v>34</v>
      </c>
      <c r="E44" s="3" t="s">
        <v>25</v>
      </c>
      <c r="F44" s="3" t="s">
        <v>25</v>
      </c>
      <c r="G44" s="3" t="s">
        <v>25</v>
      </c>
      <c r="H44" s="3" t="s">
        <v>38</v>
      </c>
      <c r="I44" s="6">
        <v>44621</v>
      </c>
      <c r="J44" s="4">
        <v>0</v>
      </c>
      <c r="K44" s="4">
        <v>0</v>
      </c>
      <c r="L44" s="4">
        <v>2710.4949999999999</v>
      </c>
      <c r="M44" s="4">
        <v>2710.4949999999999</v>
      </c>
      <c r="N44" s="4">
        <v>2710.4949999999999</v>
      </c>
      <c r="O44" s="4">
        <v>2710.4949999999999</v>
      </c>
      <c r="P44" s="4">
        <v>0</v>
      </c>
      <c r="Q44" s="3" t="s">
        <v>26</v>
      </c>
      <c r="R44" s="3">
        <v>0</v>
      </c>
      <c r="S44" s="4">
        <v>0</v>
      </c>
      <c r="T44" s="4">
        <v>8</v>
      </c>
      <c r="U44" s="4">
        <v>51</v>
      </c>
      <c r="V44" s="4">
        <f>IF(ISERROR(VLOOKUP($S$44,'TAR FIN'!$A$1:$O$88,15,0)),0,VLOOKUP($S$44,'TAR FIN'!$A$1:$O$88,15,0))</f>
        <v>0</v>
      </c>
      <c r="W44" s="4">
        <f>IF(ISERROR(VLOOKUP($T$44,'TAR FIN'!$A$1:$O$88,15,0)),0,VLOOKUP($T$44,'TAR FIN'!$A$1:$O$88,15,0))</f>
        <v>61.71</v>
      </c>
      <c r="X44" s="4">
        <f>IF(ISERROR(VLOOKUP($U$44,'TAR FIN'!$A$1:$O$88,15,0)),0,VLOOKUP($U$44,'TAR FIN'!$A$1:$O$88,15,0))</f>
        <v>242.35</v>
      </c>
      <c r="Y44" s="4"/>
      <c r="Z44" s="4">
        <f ca="1">('TUSD BE'!$AM$12+'TUSD BF'!$AM$12+'TUSD CVA'!$AM$12)*1</f>
        <v>88.695192613955996</v>
      </c>
      <c r="AA44" s="4">
        <f>('TE BE'!$AB$6+'TE BF'!$AB$6+'TE CVA'!$AB$6)*1</f>
        <v>191.00751406315655</v>
      </c>
      <c r="AB44" s="4">
        <f>$K$44*$V$44</f>
        <v>0</v>
      </c>
      <c r="AC44" s="4">
        <f>$M$44*$W$44</f>
        <v>167264.64645</v>
      </c>
      <c r="AD44" s="4">
        <f>$O$44*$X$44</f>
        <v>656888.46324999991</v>
      </c>
      <c r="AE44" s="4">
        <f>$K$44*$Y$44</f>
        <v>0</v>
      </c>
      <c r="AF44" s="4">
        <f ca="1">$M$44*$Z$44</f>
        <v>240407.87610416464</v>
      </c>
      <c r="AG44" s="4">
        <f>$O$44*$AA$44</f>
        <v>517724.91183061549</v>
      </c>
    </row>
    <row r="45" spans="1:33" ht="11.25" customHeight="1" x14ac:dyDescent="0.3">
      <c r="A45" s="3" t="s">
        <v>21</v>
      </c>
      <c r="B45" s="3" t="s">
        <v>35</v>
      </c>
      <c r="C45" s="3" t="s">
        <v>36</v>
      </c>
      <c r="D45" s="3" t="s">
        <v>34</v>
      </c>
      <c r="E45" s="3" t="s">
        <v>25</v>
      </c>
      <c r="F45" s="3" t="s">
        <v>25</v>
      </c>
      <c r="G45" s="3" t="s">
        <v>25</v>
      </c>
      <c r="H45" s="3" t="s">
        <v>38</v>
      </c>
      <c r="I45" s="6">
        <v>44652</v>
      </c>
      <c r="J45" s="4">
        <v>0</v>
      </c>
      <c r="K45" s="4">
        <v>0</v>
      </c>
      <c r="L45" s="4">
        <v>2332.5039999999999</v>
      </c>
      <c r="M45" s="4">
        <v>2332.5039999999999</v>
      </c>
      <c r="N45" s="4">
        <v>2332.5039999999999</v>
      </c>
      <c r="O45" s="4">
        <v>2332.5039999999999</v>
      </c>
      <c r="P45" s="4">
        <v>0</v>
      </c>
      <c r="Q45" s="3" t="s">
        <v>26</v>
      </c>
      <c r="R45" s="3">
        <v>0</v>
      </c>
      <c r="S45" s="4">
        <v>0</v>
      </c>
      <c r="T45" s="4">
        <v>8</v>
      </c>
      <c r="U45" s="4">
        <v>51</v>
      </c>
      <c r="V45" s="4">
        <f>IF(ISERROR(VLOOKUP($S$45,'TAR FIN'!$A$1:$O$88,15,0)),0,VLOOKUP($S$45,'TAR FIN'!$A$1:$O$88,15,0))</f>
        <v>0</v>
      </c>
      <c r="W45" s="4">
        <f>IF(ISERROR(VLOOKUP($T$45,'TAR FIN'!$A$1:$O$88,15,0)),0,VLOOKUP($T$45,'TAR FIN'!$A$1:$O$88,15,0))</f>
        <v>61.71</v>
      </c>
      <c r="X45" s="4">
        <f>IF(ISERROR(VLOOKUP($U$45,'TAR FIN'!$A$1:$O$88,15,0)),0,VLOOKUP($U$45,'TAR FIN'!$A$1:$O$88,15,0))</f>
        <v>242.35</v>
      </c>
      <c r="Y45" s="4"/>
      <c r="Z45" s="4">
        <f ca="1">('TUSD BE'!$AM$12+'TUSD BF'!$AM$12+'TUSD CVA'!$AM$12)*1</f>
        <v>88.695192613955996</v>
      </c>
      <c r="AA45" s="4">
        <f>('TE BE'!$AB$6+'TE BF'!$AB$6+'TE CVA'!$AB$6)*1</f>
        <v>191.00751406315655</v>
      </c>
      <c r="AB45" s="4">
        <f>$K$45*$V$45</f>
        <v>0</v>
      </c>
      <c r="AC45" s="4">
        <f>$M$45*$W$45</f>
        <v>143938.82183999999</v>
      </c>
      <c r="AD45" s="4">
        <f>$O$45*$X$45</f>
        <v>565282.34439999994</v>
      </c>
      <c r="AE45" s="4">
        <f>$K$45*$Y$45</f>
        <v>0</v>
      </c>
      <c r="AF45" s="4">
        <f ca="1">$M$45*$Z$45</f>
        <v>206881.89155282281</v>
      </c>
      <c r="AG45" s="4">
        <f>$O$45*$AA$45</f>
        <v>445525.79058236891</v>
      </c>
    </row>
    <row r="46" spans="1:33" ht="11.25" customHeight="1" x14ac:dyDescent="0.3">
      <c r="A46" s="3" t="s">
        <v>21</v>
      </c>
      <c r="B46" s="3" t="s">
        <v>35</v>
      </c>
      <c r="C46" s="3" t="s">
        <v>36</v>
      </c>
      <c r="D46" s="3" t="s">
        <v>34</v>
      </c>
      <c r="E46" s="3" t="s">
        <v>25</v>
      </c>
      <c r="F46" s="3" t="s">
        <v>25</v>
      </c>
      <c r="G46" s="3" t="s">
        <v>25</v>
      </c>
      <c r="H46" s="3" t="s">
        <v>38</v>
      </c>
      <c r="I46" s="6">
        <v>44682</v>
      </c>
      <c r="J46" s="4">
        <v>0</v>
      </c>
      <c r="K46" s="4">
        <v>0</v>
      </c>
      <c r="L46" s="4">
        <v>2264.5300000000002</v>
      </c>
      <c r="M46" s="4">
        <v>2264.5300000000002</v>
      </c>
      <c r="N46" s="4">
        <v>2264.5300000000002</v>
      </c>
      <c r="O46" s="4">
        <v>2264.5300000000002</v>
      </c>
      <c r="P46" s="4">
        <v>0</v>
      </c>
      <c r="Q46" s="3" t="s">
        <v>26</v>
      </c>
      <c r="R46" s="3">
        <v>0</v>
      </c>
      <c r="S46" s="4">
        <v>0</v>
      </c>
      <c r="T46" s="4">
        <v>8</v>
      </c>
      <c r="U46" s="4">
        <v>51</v>
      </c>
      <c r="V46" s="4">
        <f>IF(ISERROR(VLOOKUP($S$46,'TAR FIN'!$A$1:$O$88,15,0)),0,VLOOKUP($S$46,'TAR FIN'!$A$1:$O$88,15,0))</f>
        <v>0</v>
      </c>
      <c r="W46" s="4">
        <f>IF(ISERROR(VLOOKUP($T$46,'TAR FIN'!$A$1:$O$88,15,0)),0,VLOOKUP($T$46,'TAR FIN'!$A$1:$O$88,15,0))</f>
        <v>61.71</v>
      </c>
      <c r="X46" s="4">
        <f>IF(ISERROR(VLOOKUP($U$46,'TAR FIN'!$A$1:$O$88,15,0)),0,VLOOKUP($U$46,'TAR FIN'!$A$1:$O$88,15,0))</f>
        <v>242.35</v>
      </c>
      <c r="Y46" s="4"/>
      <c r="Z46" s="4">
        <f ca="1">('TUSD BE'!$AM$12+'TUSD BF'!$AM$12+'TUSD CVA'!$AM$12)*1</f>
        <v>88.695192613955996</v>
      </c>
      <c r="AA46" s="4">
        <f>('TE BE'!$AB$6+'TE BF'!$AB$6+'TE CVA'!$AB$6)*1</f>
        <v>191.00751406315655</v>
      </c>
      <c r="AB46" s="4">
        <f>$K$46*$V$46</f>
        <v>0</v>
      </c>
      <c r="AC46" s="4">
        <f>$M$46*$W$46</f>
        <v>139744.14630000002</v>
      </c>
      <c r="AD46" s="4">
        <f>$O$46*$X$46</f>
        <v>548808.84550000005</v>
      </c>
      <c r="AE46" s="4">
        <f>$K$46*$Y$46</f>
        <v>0</v>
      </c>
      <c r="AF46" s="4">
        <f ca="1">$M$46*$Z$46</f>
        <v>200852.9245300818</v>
      </c>
      <c r="AG46" s="4">
        <f>$O$46*$AA$46</f>
        <v>432542.24582143995</v>
      </c>
    </row>
    <row r="47" spans="1:33" ht="11.25" customHeight="1" x14ac:dyDescent="0.3">
      <c r="A47" s="3" t="s">
        <v>21</v>
      </c>
      <c r="B47" s="3" t="s">
        <v>35</v>
      </c>
      <c r="C47" s="3" t="s">
        <v>36</v>
      </c>
      <c r="D47" s="3" t="s">
        <v>34</v>
      </c>
      <c r="E47" s="3" t="s">
        <v>25</v>
      </c>
      <c r="F47" s="3" t="s">
        <v>25</v>
      </c>
      <c r="G47" s="3" t="s">
        <v>25</v>
      </c>
      <c r="H47" s="3" t="s">
        <v>38</v>
      </c>
      <c r="I47" s="6">
        <v>44713</v>
      </c>
      <c r="J47" s="4">
        <v>0</v>
      </c>
      <c r="K47" s="4">
        <v>0</v>
      </c>
      <c r="L47" s="4">
        <v>2038.23</v>
      </c>
      <c r="M47" s="4">
        <v>2038.23</v>
      </c>
      <c r="N47" s="4">
        <v>2038.23</v>
      </c>
      <c r="O47" s="4">
        <v>2038.23</v>
      </c>
      <c r="P47" s="4">
        <v>0</v>
      </c>
      <c r="Q47" s="3" t="s">
        <v>26</v>
      </c>
      <c r="R47" s="3">
        <v>0</v>
      </c>
      <c r="S47" s="4">
        <v>0</v>
      </c>
      <c r="T47" s="4">
        <v>8</v>
      </c>
      <c r="U47" s="4">
        <v>51</v>
      </c>
      <c r="V47" s="4">
        <f>IF(ISERROR(VLOOKUP($S$47,'TAR FIN'!$A$1:$O$88,15,0)),0,VLOOKUP($S$47,'TAR FIN'!$A$1:$O$88,15,0))</f>
        <v>0</v>
      </c>
      <c r="W47" s="4">
        <f>IF(ISERROR(VLOOKUP($T$47,'TAR FIN'!$A$1:$O$88,15,0)),0,VLOOKUP($T$47,'TAR FIN'!$A$1:$O$88,15,0))</f>
        <v>61.71</v>
      </c>
      <c r="X47" s="4">
        <f>IF(ISERROR(VLOOKUP($U$47,'TAR FIN'!$A$1:$O$88,15,0)),0,VLOOKUP($U$47,'TAR FIN'!$A$1:$O$88,15,0))</f>
        <v>242.35</v>
      </c>
      <c r="Y47" s="4"/>
      <c r="Z47" s="4">
        <f ca="1">('TUSD BE'!$AM$12+'TUSD BF'!$AM$12+'TUSD CVA'!$AM$12)*1</f>
        <v>88.695192613955996</v>
      </c>
      <c r="AA47" s="4">
        <f>('TE BE'!$AB$6+'TE BF'!$AB$6+'TE CVA'!$AB$6)*1</f>
        <v>191.00751406315655</v>
      </c>
      <c r="AB47" s="4">
        <f>$K$47*$V$47</f>
        <v>0</v>
      </c>
      <c r="AC47" s="4">
        <f>$M$47*$W$47</f>
        <v>125779.17330000001</v>
      </c>
      <c r="AD47" s="4">
        <f>$O$47*$X$47</f>
        <v>493965.0405</v>
      </c>
      <c r="AE47" s="4">
        <f>$K$47*$Y$47</f>
        <v>0</v>
      </c>
      <c r="AF47" s="4">
        <f ca="1">$M$47*$Z$47</f>
        <v>180781.20244154354</v>
      </c>
      <c r="AG47" s="4">
        <f>$O$47*$AA$47</f>
        <v>389317.2453889476</v>
      </c>
    </row>
    <row r="48" spans="1:33" ht="11.25" customHeight="1" x14ac:dyDescent="0.3">
      <c r="A48" s="3" t="s">
        <v>21</v>
      </c>
      <c r="B48" s="3" t="s">
        <v>35</v>
      </c>
      <c r="C48" s="3" t="s">
        <v>36</v>
      </c>
      <c r="D48" s="3" t="s">
        <v>34</v>
      </c>
      <c r="E48" s="3" t="s">
        <v>25</v>
      </c>
      <c r="F48" s="3" t="s">
        <v>25</v>
      </c>
      <c r="G48" s="3" t="s">
        <v>25</v>
      </c>
      <c r="H48" s="3" t="s">
        <v>38</v>
      </c>
      <c r="I48" s="6">
        <v>44743</v>
      </c>
      <c r="J48" s="4">
        <v>0</v>
      </c>
      <c r="K48" s="4">
        <v>0</v>
      </c>
      <c r="L48" s="4">
        <v>1986.702</v>
      </c>
      <c r="M48" s="4">
        <v>1986.702</v>
      </c>
      <c r="N48" s="4">
        <v>1986.702</v>
      </c>
      <c r="O48" s="4">
        <v>1986.702</v>
      </c>
      <c r="P48" s="4">
        <v>0</v>
      </c>
      <c r="Q48" s="3" t="s">
        <v>26</v>
      </c>
      <c r="R48" s="3">
        <v>0</v>
      </c>
      <c r="S48" s="4">
        <v>0</v>
      </c>
      <c r="T48" s="4">
        <v>8</v>
      </c>
      <c r="U48" s="4">
        <v>51</v>
      </c>
      <c r="V48" s="4">
        <f>IF(ISERROR(VLOOKUP($S$48,'TAR FIN'!$A$1:$O$88,15,0)),0,VLOOKUP($S$48,'TAR FIN'!$A$1:$O$88,15,0))</f>
        <v>0</v>
      </c>
      <c r="W48" s="4">
        <f>IF(ISERROR(VLOOKUP($T$48,'TAR FIN'!$A$1:$O$88,15,0)),0,VLOOKUP($T$48,'TAR FIN'!$A$1:$O$88,15,0))</f>
        <v>61.71</v>
      </c>
      <c r="X48" s="4">
        <f>IF(ISERROR(VLOOKUP($U$48,'TAR FIN'!$A$1:$O$88,15,0)),0,VLOOKUP($U$48,'TAR FIN'!$A$1:$O$88,15,0))</f>
        <v>242.35</v>
      </c>
      <c r="Y48" s="4"/>
      <c r="Z48" s="4">
        <f ca="1">('TUSD BE'!$AM$12+'TUSD BF'!$AM$12+'TUSD CVA'!$AM$12)*1</f>
        <v>88.695192613955996</v>
      </c>
      <c r="AA48" s="4">
        <f>('TE BE'!$AB$6+'TE BF'!$AB$6+'TE CVA'!$AB$6)*1</f>
        <v>191.00751406315655</v>
      </c>
      <c r="AB48" s="4">
        <f>$K$48*$V$48</f>
        <v>0</v>
      </c>
      <c r="AC48" s="4">
        <f>$M$48*$W$48</f>
        <v>122599.38042</v>
      </c>
      <c r="AD48" s="4">
        <f>$O$48*$X$48</f>
        <v>481477.22969999997</v>
      </c>
      <c r="AE48" s="4">
        <f>$K$48*$Y$48</f>
        <v>0</v>
      </c>
      <c r="AF48" s="4">
        <f ca="1">$M$48*$Z$48</f>
        <v>176210.91655653159</v>
      </c>
      <c r="AG48" s="4">
        <f>$O$48*$AA$48</f>
        <v>379475.01020430122</v>
      </c>
    </row>
    <row r="49" spans="1:33" ht="11.25" customHeight="1" x14ac:dyDescent="0.3">
      <c r="A49" s="3" t="s">
        <v>55</v>
      </c>
      <c r="B49" s="3" t="s">
        <v>35</v>
      </c>
      <c r="C49" s="3" t="s">
        <v>36</v>
      </c>
      <c r="D49" s="3" t="s">
        <v>34</v>
      </c>
      <c r="E49" s="3" t="s">
        <v>25</v>
      </c>
      <c r="F49" s="3" t="s">
        <v>25</v>
      </c>
      <c r="G49" s="3" t="s">
        <v>25</v>
      </c>
      <c r="H49" s="3" t="s">
        <v>38</v>
      </c>
      <c r="I49" s="6">
        <v>44774</v>
      </c>
      <c r="J49" s="4">
        <v>0</v>
      </c>
      <c r="K49" s="4">
        <v>0</v>
      </c>
      <c r="L49" s="4">
        <v>1986.702</v>
      </c>
      <c r="M49" s="4">
        <v>1986.702</v>
      </c>
      <c r="N49" s="4">
        <v>1986.702</v>
      </c>
      <c r="O49" s="4">
        <v>1986.702</v>
      </c>
      <c r="P49" s="4">
        <v>0</v>
      </c>
      <c r="Q49" s="3" t="s">
        <v>26</v>
      </c>
      <c r="R49" s="3">
        <v>0</v>
      </c>
      <c r="S49" s="4">
        <v>0</v>
      </c>
      <c r="T49" s="4">
        <v>8</v>
      </c>
      <c r="U49" s="4">
        <v>51</v>
      </c>
      <c r="V49" s="4">
        <f>IF(ISERROR(VLOOKUP($S$49,'TAR FIN'!$A$1:$O$88,15,0)),0,VLOOKUP($S$49,'TAR FIN'!$A$1:$O$88,15,0))</f>
        <v>0</v>
      </c>
      <c r="W49" s="4">
        <f>IF(ISERROR(VLOOKUP($T$49,'TAR FIN'!$A$1:$O$88,15,0)),0,VLOOKUP($T$49,'TAR FIN'!$A$1:$O$88,15,0))</f>
        <v>61.71</v>
      </c>
      <c r="X49" s="4">
        <f>IF(ISERROR(VLOOKUP($U$49,'TAR FIN'!$A$1:$O$88,15,0)),0,VLOOKUP($U$49,'TAR FIN'!$A$1:$O$88,15,0))</f>
        <v>242.35</v>
      </c>
      <c r="Y49" s="4"/>
      <c r="Z49" s="4">
        <f ca="1">('TUSD BE'!$AM$12+'TUSD BF'!$AM$12+'TUSD CVA'!$AM$12)*1</f>
        <v>88.695192613955996</v>
      </c>
      <c r="AA49" s="4">
        <f>('TE BE'!$AB$6+'TE BF'!$AB$6+'TE CVA'!$AB$6)*1</f>
        <v>191.00751406315655</v>
      </c>
      <c r="AB49" s="4">
        <f>$K$49*$V$49</f>
        <v>0</v>
      </c>
      <c r="AC49" s="4">
        <f>$M$49*$W$49</f>
        <v>122599.38042</v>
      </c>
      <c r="AD49" s="4">
        <f>$O$49*$X$49</f>
        <v>481477.22969999997</v>
      </c>
      <c r="AE49" s="4">
        <f>$K$49*$Y$49</f>
        <v>0</v>
      </c>
      <c r="AF49" s="4">
        <f ca="1">$M$49*$Z$49</f>
        <v>176210.91655653159</v>
      </c>
      <c r="AG49" s="4">
        <f>$O$49*$AA$49</f>
        <v>379475.01020430122</v>
      </c>
    </row>
    <row r="50" spans="1:33" ht="11.25" customHeight="1" x14ac:dyDescent="0.3">
      <c r="A50" s="3" t="s">
        <v>21</v>
      </c>
      <c r="B50" s="3" t="s">
        <v>35</v>
      </c>
      <c r="C50" s="3" t="s">
        <v>36</v>
      </c>
      <c r="D50" s="3" t="s">
        <v>34</v>
      </c>
      <c r="E50" s="3" t="s">
        <v>25</v>
      </c>
      <c r="F50" s="3" t="s">
        <v>25</v>
      </c>
      <c r="G50" s="3" t="s">
        <v>25</v>
      </c>
      <c r="H50" s="3" t="s">
        <v>25</v>
      </c>
      <c r="I50" s="6">
        <v>44440</v>
      </c>
      <c r="J50" s="4">
        <v>5380</v>
      </c>
      <c r="K50" s="4">
        <v>5380</v>
      </c>
      <c r="L50" s="4">
        <v>0</v>
      </c>
      <c r="M50" s="4">
        <v>0</v>
      </c>
      <c r="N50" s="4">
        <v>0</v>
      </c>
      <c r="O50" s="4">
        <v>0</v>
      </c>
      <c r="P50" s="4">
        <v>14</v>
      </c>
      <c r="Q50" s="3" t="s">
        <v>26</v>
      </c>
      <c r="R50" s="3">
        <v>0</v>
      </c>
      <c r="S50" s="4">
        <v>6</v>
      </c>
      <c r="T50" s="4">
        <v>0</v>
      </c>
      <c r="U50" s="4">
        <v>0</v>
      </c>
      <c r="V50" s="4">
        <f>IF(ISERROR(VLOOKUP($S$50,'TAR FIN'!$A$1:$O$88,15,0)),0,VLOOKUP($S$50,'TAR FIN'!$A$1:$O$88,15,0))</f>
        <v>21.06</v>
      </c>
      <c r="W50" s="4">
        <f>IF(ISERROR(VLOOKUP($T$50,'TAR FIN'!$A$1:$O$88,15,0)),0,VLOOKUP($T$50,'TAR FIN'!$A$1:$O$88,15,0))</f>
        <v>0</v>
      </c>
      <c r="X50" s="4">
        <f>IF(ISERROR(VLOOKUP($U$50,'TAR FIN'!$A$1:$O$88,15,0)),0,VLOOKUP($U$50,'TAR FIN'!$A$1:$O$88,15,0))</f>
        <v>0</v>
      </c>
      <c r="Y50" s="4">
        <f ca="1">('TUSD BE'!$AM$10+'TUSD BF'!$AM$10+'TUSD CVA'!$AM$10)*1</f>
        <v>29.821869326823354</v>
      </c>
      <c r="Z50" s="4"/>
      <c r="AA50" s="4"/>
      <c r="AB50" s="4">
        <f>$K$50*$V$50</f>
        <v>113302.79999999999</v>
      </c>
      <c r="AC50" s="4">
        <f>$M$50*$W$50</f>
        <v>0</v>
      </c>
      <c r="AD50" s="4">
        <f>$O$50*$X$50</f>
        <v>0</v>
      </c>
      <c r="AE50" s="4">
        <f ca="1">$K$50*$Y$50</f>
        <v>160441.65697830965</v>
      </c>
      <c r="AF50" s="4">
        <f>$M$50*$Z$50</f>
        <v>0</v>
      </c>
      <c r="AG50" s="4">
        <f>$O$50*$AA$50</f>
        <v>0</v>
      </c>
    </row>
    <row r="51" spans="1:33" ht="11.25" customHeight="1" x14ac:dyDescent="0.3">
      <c r="A51" s="3" t="s">
        <v>21</v>
      </c>
      <c r="B51" s="3" t="s">
        <v>35</v>
      </c>
      <c r="C51" s="3" t="s">
        <v>36</v>
      </c>
      <c r="D51" s="3" t="s">
        <v>34</v>
      </c>
      <c r="E51" s="3" t="s">
        <v>25</v>
      </c>
      <c r="F51" s="3" t="s">
        <v>25</v>
      </c>
      <c r="G51" s="3" t="s">
        <v>25</v>
      </c>
      <c r="H51" s="3" t="s">
        <v>25</v>
      </c>
      <c r="I51" s="6">
        <v>44470</v>
      </c>
      <c r="J51" s="4">
        <v>5166</v>
      </c>
      <c r="K51" s="4">
        <v>5166</v>
      </c>
      <c r="L51" s="4">
        <v>0</v>
      </c>
      <c r="M51" s="4">
        <v>0</v>
      </c>
      <c r="N51" s="4">
        <v>0</v>
      </c>
      <c r="O51" s="4">
        <v>0</v>
      </c>
      <c r="P51" s="4">
        <v>14</v>
      </c>
      <c r="Q51" s="3" t="s">
        <v>26</v>
      </c>
      <c r="R51" s="3">
        <v>0</v>
      </c>
      <c r="S51" s="4">
        <v>6</v>
      </c>
      <c r="T51" s="4">
        <v>0</v>
      </c>
      <c r="U51" s="4">
        <v>0</v>
      </c>
      <c r="V51" s="4">
        <f>IF(ISERROR(VLOOKUP($S$51,'TAR FIN'!$A$1:$O$88,15,0)),0,VLOOKUP($S$51,'TAR FIN'!$A$1:$O$88,15,0))</f>
        <v>21.06</v>
      </c>
      <c r="W51" s="4">
        <f>IF(ISERROR(VLOOKUP($T$51,'TAR FIN'!$A$1:$O$88,15,0)),0,VLOOKUP($T$51,'TAR FIN'!$A$1:$O$88,15,0))</f>
        <v>0</v>
      </c>
      <c r="X51" s="4">
        <f>IF(ISERROR(VLOOKUP($U$51,'TAR FIN'!$A$1:$O$88,15,0)),0,VLOOKUP($U$51,'TAR FIN'!$A$1:$O$88,15,0))</f>
        <v>0</v>
      </c>
      <c r="Y51" s="4">
        <f ca="1">('TUSD BE'!$AM$10+'TUSD BF'!$AM$10+'TUSD CVA'!$AM$10)*1</f>
        <v>29.821869326823354</v>
      </c>
      <c r="Z51" s="4"/>
      <c r="AA51" s="4"/>
      <c r="AB51" s="4">
        <f>$K$51*$V$51</f>
        <v>108795.95999999999</v>
      </c>
      <c r="AC51" s="4">
        <f>$M$51*$W$51</f>
        <v>0</v>
      </c>
      <c r="AD51" s="4">
        <f>$O$51*$X$51</f>
        <v>0</v>
      </c>
      <c r="AE51" s="4">
        <f ca="1">$K$51*$Y$51</f>
        <v>154059.77694236944</v>
      </c>
      <c r="AF51" s="4">
        <f>$M$51*$Z$51</f>
        <v>0</v>
      </c>
      <c r="AG51" s="4">
        <f>$O$51*$AA$51</f>
        <v>0</v>
      </c>
    </row>
    <row r="52" spans="1:33" ht="11.25" customHeight="1" x14ac:dyDescent="0.3">
      <c r="A52" s="3" t="s">
        <v>21</v>
      </c>
      <c r="B52" s="3" t="s">
        <v>35</v>
      </c>
      <c r="C52" s="3" t="s">
        <v>36</v>
      </c>
      <c r="D52" s="3" t="s">
        <v>34</v>
      </c>
      <c r="E52" s="3" t="s">
        <v>25</v>
      </c>
      <c r="F52" s="3" t="s">
        <v>25</v>
      </c>
      <c r="G52" s="3" t="s">
        <v>25</v>
      </c>
      <c r="H52" s="3" t="s">
        <v>25</v>
      </c>
      <c r="I52" s="6">
        <v>44501</v>
      </c>
      <c r="J52" s="4">
        <v>5399</v>
      </c>
      <c r="K52" s="4">
        <v>5399</v>
      </c>
      <c r="L52" s="4">
        <v>0</v>
      </c>
      <c r="M52" s="4">
        <v>0</v>
      </c>
      <c r="N52" s="4">
        <v>0</v>
      </c>
      <c r="O52" s="4">
        <v>0</v>
      </c>
      <c r="P52" s="4">
        <v>14</v>
      </c>
      <c r="Q52" s="3" t="s">
        <v>26</v>
      </c>
      <c r="R52" s="3">
        <v>0</v>
      </c>
      <c r="S52" s="4">
        <v>6</v>
      </c>
      <c r="T52" s="4">
        <v>0</v>
      </c>
      <c r="U52" s="4">
        <v>0</v>
      </c>
      <c r="V52" s="4">
        <f>IF(ISERROR(VLOOKUP($S$52,'TAR FIN'!$A$1:$O$88,15,0)),0,VLOOKUP($S$52,'TAR FIN'!$A$1:$O$88,15,0))</f>
        <v>21.06</v>
      </c>
      <c r="W52" s="4">
        <f>IF(ISERROR(VLOOKUP($T$52,'TAR FIN'!$A$1:$O$88,15,0)),0,VLOOKUP($T$52,'TAR FIN'!$A$1:$O$88,15,0))</f>
        <v>0</v>
      </c>
      <c r="X52" s="4">
        <f>IF(ISERROR(VLOOKUP($U$52,'TAR FIN'!$A$1:$O$88,15,0)),0,VLOOKUP($U$52,'TAR FIN'!$A$1:$O$88,15,0))</f>
        <v>0</v>
      </c>
      <c r="Y52" s="4">
        <f ca="1">('TUSD BE'!$AM$10+'TUSD BF'!$AM$10+'TUSD CVA'!$AM$10)*1</f>
        <v>29.821869326823354</v>
      </c>
      <c r="Z52" s="4"/>
      <c r="AA52" s="4"/>
      <c r="AB52" s="4">
        <f>$K$52*$V$52</f>
        <v>113702.93999999999</v>
      </c>
      <c r="AC52" s="4">
        <f>$M$52*$W$52</f>
        <v>0</v>
      </c>
      <c r="AD52" s="4">
        <f>$O$52*$X$52</f>
        <v>0</v>
      </c>
      <c r="AE52" s="4">
        <f ca="1">$K$52*$Y$52</f>
        <v>161008.27249551928</v>
      </c>
      <c r="AF52" s="4">
        <f>$M$52*$Z$52</f>
        <v>0</v>
      </c>
      <c r="AG52" s="4">
        <f>$O$52*$AA$52</f>
        <v>0</v>
      </c>
    </row>
    <row r="53" spans="1:33" ht="11.25" customHeight="1" x14ac:dyDescent="0.3">
      <c r="A53" s="3" t="s">
        <v>21</v>
      </c>
      <c r="B53" s="3" t="s">
        <v>35</v>
      </c>
      <c r="C53" s="3" t="s">
        <v>36</v>
      </c>
      <c r="D53" s="3" t="s">
        <v>34</v>
      </c>
      <c r="E53" s="3" t="s">
        <v>25</v>
      </c>
      <c r="F53" s="3" t="s">
        <v>25</v>
      </c>
      <c r="G53" s="3" t="s">
        <v>25</v>
      </c>
      <c r="H53" s="3" t="s">
        <v>25</v>
      </c>
      <c r="I53" s="6">
        <v>44531</v>
      </c>
      <c r="J53" s="4">
        <v>4940</v>
      </c>
      <c r="K53" s="4">
        <v>4940</v>
      </c>
      <c r="L53" s="4">
        <v>0</v>
      </c>
      <c r="M53" s="4">
        <v>0</v>
      </c>
      <c r="N53" s="4">
        <v>0</v>
      </c>
      <c r="O53" s="4">
        <v>0</v>
      </c>
      <c r="P53" s="4">
        <v>14</v>
      </c>
      <c r="Q53" s="3" t="s">
        <v>26</v>
      </c>
      <c r="R53" s="3">
        <v>0</v>
      </c>
      <c r="S53" s="4">
        <v>6</v>
      </c>
      <c r="T53" s="4">
        <v>0</v>
      </c>
      <c r="U53" s="4">
        <v>0</v>
      </c>
      <c r="V53" s="4">
        <f>IF(ISERROR(VLOOKUP($S$53,'TAR FIN'!$A$1:$O$88,15,0)),0,VLOOKUP($S$53,'TAR FIN'!$A$1:$O$88,15,0))</f>
        <v>21.06</v>
      </c>
      <c r="W53" s="4">
        <f>IF(ISERROR(VLOOKUP($T$53,'TAR FIN'!$A$1:$O$88,15,0)),0,VLOOKUP($T$53,'TAR FIN'!$A$1:$O$88,15,0))</f>
        <v>0</v>
      </c>
      <c r="X53" s="4">
        <f>IF(ISERROR(VLOOKUP($U$53,'TAR FIN'!$A$1:$O$88,15,0)),0,VLOOKUP($U$53,'TAR FIN'!$A$1:$O$88,15,0))</f>
        <v>0</v>
      </c>
      <c r="Y53" s="4">
        <f ca="1">('TUSD BE'!$AM$10+'TUSD BF'!$AM$10+'TUSD CVA'!$AM$10)*1</f>
        <v>29.821869326823354</v>
      </c>
      <c r="Z53" s="4"/>
      <c r="AA53" s="4"/>
      <c r="AB53" s="4">
        <f>$K$53*$V$53</f>
        <v>104036.4</v>
      </c>
      <c r="AC53" s="4">
        <f>$M$53*$W$53</f>
        <v>0</v>
      </c>
      <c r="AD53" s="4">
        <f>$O$53*$X$53</f>
        <v>0</v>
      </c>
      <c r="AE53" s="4">
        <f ca="1">$K$53*$Y$53</f>
        <v>147320.03447450738</v>
      </c>
      <c r="AF53" s="4">
        <f>$M$53*$Z$53</f>
        <v>0</v>
      </c>
      <c r="AG53" s="4">
        <f>$O$53*$AA$53</f>
        <v>0</v>
      </c>
    </row>
    <row r="54" spans="1:33" ht="11.25" customHeight="1" x14ac:dyDescent="0.3">
      <c r="A54" s="3" t="s">
        <v>21</v>
      </c>
      <c r="B54" s="3" t="s">
        <v>35</v>
      </c>
      <c r="C54" s="3" t="s">
        <v>36</v>
      </c>
      <c r="D54" s="3" t="s">
        <v>34</v>
      </c>
      <c r="E54" s="3" t="s">
        <v>25</v>
      </c>
      <c r="F54" s="3" t="s">
        <v>25</v>
      </c>
      <c r="G54" s="3" t="s">
        <v>25</v>
      </c>
      <c r="H54" s="3" t="s">
        <v>25</v>
      </c>
      <c r="I54" s="6">
        <v>44562</v>
      </c>
      <c r="J54" s="4">
        <v>5258</v>
      </c>
      <c r="K54" s="4">
        <v>5258</v>
      </c>
      <c r="L54" s="4">
        <v>0</v>
      </c>
      <c r="M54" s="4">
        <v>0</v>
      </c>
      <c r="N54" s="4">
        <v>0</v>
      </c>
      <c r="O54" s="4">
        <v>0</v>
      </c>
      <c r="P54" s="4">
        <v>14</v>
      </c>
      <c r="Q54" s="3" t="s">
        <v>26</v>
      </c>
      <c r="R54" s="3">
        <v>0</v>
      </c>
      <c r="S54" s="4">
        <v>6</v>
      </c>
      <c r="T54" s="4">
        <v>0</v>
      </c>
      <c r="U54" s="4">
        <v>0</v>
      </c>
      <c r="V54" s="4">
        <f>IF(ISERROR(VLOOKUP($S$54,'TAR FIN'!$A$1:$O$88,15,0)),0,VLOOKUP($S$54,'TAR FIN'!$A$1:$O$88,15,0))</f>
        <v>21.06</v>
      </c>
      <c r="W54" s="4">
        <f>IF(ISERROR(VLOOKUP($T$54,'TAR FIN'!$A$1:$O$88,15,0)),0,VLOOKUP($T$54,'TAR FIN'!$A$1:$O$88,15,0))</f>
        <v>0</v>
      </c>
      <c r="X54" s="4">
        <f>IF(ISERROR(VLOOKUP($U$54,'TAR FIN'!$A$1:$O$88,15,0)),0,VLOOKUP($U$54,'TAR FIN'!$A$1:$O$88,15,0))</f>
        <v>0</v>
      </c>
      <c r="Y54" s="4">
        <f ca="1">('TUSD BE'!$AM$10+'TUSD BF'!$AM$10+'TUSD CVA'!$AM$10)*1</f>
        <v>29.821869326823354</v>
      </c>
      <c r="Z54" s="4"/>
      <c r="AA54" s="4"/>
      <c r="AB54" s="4">
        <f>$K$54*$V$54</f>
        <v>110733.48</v>
      </c>
      <c r="AC54" s="4">
        <f>$M$54*$W$54</f>
        <v>0</v>
      </c>
      <c r="AD54" s="4">
        <f>$O$54*$X$54</f>
        <v>0</v>
      </c>
      <c r="AE54" s="4">
        <f ca="1">$K$54*$Y$54</f>
        <v>156803.3889204372</v>
      </c>
      <c r="AF54" s="4">
        <f>$M$54*$Z$54</f>
        <v>0</v>
      </c>
      <c r="AG54" s="4">
        <f>$O$54*$AA$54</f>
        <v>0</v>
      </c>
    </row>
    <row r="55" spans="1:33" ht="11.25" customHeight="1" x14ac:dyDescent="0.3">
      <c r="A55" s="3" t="s">
        <v>21</v>
      </c>
      <c r="B55" s="3" t="s">
        <v>35</v>
      </c>
      <c r="C55" s="3" t="s">
        <v>36</v>
      </c>
      <c r="D55" s="3" t="s">
        <v>34</v>
      </c>
      <c r="E55" s="3" t="s">
        <v>25</v>
      </c>
      <c r="F55" s="3" t="s">
        <v>25</v>
      </c>
      <c r="G55" s="3" t="s">
        <v>25</v>
      </c>
      <c r="H55" s="3" t="s">
        <v>25</v>
      </c>
      <c r="I55" s="6">
        <v>44593</v>
      </c>
      <c r="J55" s="4">
        <v>5734</v>
      </c>
      <c r="K55" s="4">
        <v>5734</v>
      </c>
      <c r="L55" s="4">
        <v>0</v>
      </c>
      <c r="M55" s="4">
        <v>0</v>
      </c>
      <c r="N55" s="4">
        <v>0</v>
      </c>
      <c r="O55" s="4">
        <v>0</v>
      </c>
      <c r="P55" s="4">
        <v>14</v>
      </c>
      <c r="Q55" s="3" t="s">
        <v>26</v>
      </c>
      <c r="R55" s="3">
        <v>0</v>
      </c>
      <c r="S55" s="4">
        <v>6</v>
      </c>
      <c r="T55" s="4">
        <v>0</v>
      </c>
      <c r="U55" s="4">
        <v>0</v>
      </c>
      <c r="V55" s="4">
        <f>IF(ISERROR(VLOOKUP($S$55,'TAR FIN'!$A$1:$O$88,15,0)),0,VLOOKUP($S$55,'TAR FIN'!$A$1:$O$88,15,0))</f>
        <v>21.06</v>
      </c>
      <c r="W55" s="4">
        <f>IF(ISERROR(VLOOKUP($T$55,'TAR FIN'!$A$1:$O$88,15,0)),0,VLOOKUP($T$55,'TAR FIN'!$A$1:$O$88,15,0))</f>
        <v>0</v>
      </c>
      <c r="X55" s="4">
        <f>IF(ISERROR(VLOOKUP($U$55,'TAR FIN'!$A$1:$O$88,15,0)),0,VLOOKUP($U$55,'TAR FIN'!$A$1:$O$88,15,0))</f>
        <v>0</v>
      </c>
      <c r="Y55" s="4">
        <f ca="1">('TUSD BE'!$AM$10+'TUSD BF'!$AM$10+'TUSD CVA'!$AM$10)*1</f>
        <v>29.821869326823354</v>
      </c>
      <c r="Z55" s="4"/>
      <c r="AA55" s="4"/>
      <c r="AB55" s="4">
        <f>$K$55*$V$55</f>
        <v>120758.04</v>
      </c>
      <c r="AC55" s="4">
        <f>$M$55*$W$55</f>
        <v>0</v>
      </c>
      <c r="AD55" s="4">
        <f>$O$55*$X$55</f>
        <v>0</v>
      </c>
      <c r="AE55" s="4">
        <f ca="1">$K$55*$Y$55</f>
        <v>170998.5987200051</v>
      </c>
      <c r="AF55" s="4">
        <f>$M$55*$Z$55</f>
        <v>0</v>
      </c>
      <c r="AG55" s="4">
        <f>$O$55*$AA$55</f>
        <v>0</v>
      </c>
    </row>
    <row r="56" spans="1:33" ht="11.25" customHeight="1" x14ac:dyDescent="0.3">
      <c r="A56" s="3" t="s">
        <v>21</v>
      </c>
      <c r="B56" s="3" t="s">
        <v>35</v>
      </c>
      <c r="C56" s="3" t="s">
        <v>36</v>
      </c>
      <c r="D56" s="3" t="s">
        <v>34</v>
      </c>
      <c r="E56" s="3" t="s">
        <v>25</v>
      </c>
      <c r="F56" s="3" t="s">
        <v>25</v>
      </c>
      <c r="G56" s="3" t="s">
        <v>25</v>
      </c>
      <c r="H56" s="3" t="s">
        <v>25</v>
      </c>
      <c r="I56" s="6">
        <v>44621</v>
      </c>
      <c r="J56" s="4">
        <v>6418</v>
      </c>
      <c r="K56" s="4">
        <v>6418</v>
      </c>
      <c r="L56" s="4">
        <v>0</v>
      </c>
      <c r="M56" s="4">
        <v>0</v>
      </c>
      <c r="N56" s="4">
        <v>0</v>
      </c>
      <c r="O56" s="4">
        <v>0</v>
      </c>
      <c r="P56" s="4">
        <v>15</v>
      </c>
      <c r="Q56" s="3" t="s">
        <v>26</v>
      </c>
      <c r="R56" s="3">
        <v>0</v>
      </c>
      <c r="S56" s="4">
        <v>6</v>
      </c>
      <c r="T56" s="4">
        <v>0</v>
      </c>
      <c r="U56" s="4">
        <v>0</v>
      </c>
      <c r="V56" s="4">
        <f>IF(ISERROR(VLOOKUP($S$56,'TAR FIN'!$A$1:$O$88,15,0)),0,VLOOKUP($S$56,'TAR FIN'!$A$1:$O$88,15,0))</f>
        <v>21.06</v>
      </c>
      <c r="W56" s="4">
        <f>IF(ISERROR(VLOOKUP($T$56,'TAR FIN'!$A$1:$O$88,15,0)),0,VLOOKUP($T$56,'TAR FIN'!$A$1:$O$88,15,0))</f>
        <v>0</v>
      </c>
      <c r="X56" s="4">
        <f>IF(ISERROR(VLOOKUP($U$56,'TAR FIN'!$A$1:$O$88,15,0)),0,VLOOKUP($U$56,'TAR FIN'!$A$1:$O$88,15,0))</f>
        <v>0</v>
      </c>
      <c r="Y56" s="4">
        <f ca="1">('TUSD BE'!$AM$10+'TUSD BF'!$AM$10+'TUSD CVA'!$AM$10)*1</f>
        <v>29.821869326823354</v>
      </c>
      <c r="Z56" s="4"/>
      <c r="AA56" s="4"/>
      <c r="AB56" s="4">
        <f>$K$56*$V$56</f>
        <v>135163.07999999999</v>
      </c>
      <c r="AC56" s="4">
        <f>$M$56*$W$56</f>
        <v>0</v>
      </c>
      <c r="AD56" s="4">
        <f>$O$56*$X$56</f>
        <v>0</v>
      </c>
      <c r="AE56" s="4">
        <f ca="1">$K$56*$Y$56</f>
        <v>191396.75733955228</v>
      </c>
      <c r="AF56" s="4">
        <f>$M$56*$Z$56</f>
        <v>0</v>
      </c>
      <c r="AG56" s="4">
        <f>$O$56*$AA$56</f>
        <v>0</v>
      </c>
    </row>
    <row r="57" spans="1:33" ht="11.25" customHeight="1" x14ac:dyDescent="0.3">
      <c r="A57" s="3" t="s">
        <v>21</v>
      </c>
      <c r="B57" s="3" t="s">
        <v>35</v>
      </c>
      <c r="C57" s="3" t="s">
        <v>36</v>
      </c>
      <c r="D57" s="3" t="s">
        <v>34</v>
      </c>
      <c r="E57" s="3" t="s">
        <v>25</v>
      </c>
      <c r="F57" s="3" t="s">
        <v>25</v>
      </c>
      <c r="G57" s="3" t="s">
        <v>25</v>
      </c>
      <c r="H57" s="3" t="s">
        <v>25</v>
      </c>
      <c r="I57" s="6">
        <v>44652</v>
      </c>
      <c r="J57" s="4">
        <v>6820</v>
      </c>
      <c r="K57" s="4">
        <v>6820</v>
      </c>
      <c r="L57" s="4">
        <v>0</v>
      </c>
      <c r="M57" s="4">
        <v>0</v>
      </c>
      <c r="N57" s="4">
        <v>0</v>
      </c>
      <c r="O57" s="4">
        <v>0</v>
      </c>
      <c r="P57" s="4">
        <v>15</v>
      </c>
      <c r="Q57" s="3" t="s">
        <v>26</v>
      </c>
      <c r="R57" s="3">
        <v>0</v>
      </c>
      <c r="S57" s="4">
        <v>6</v>
      </c>
      <c r="T57" s="4">
        <v>0</v>
      </c>
      <c r="U57" s="4">
        <v>0</v>
      </c>
      <c r="V57" s="4">
        <f>IF(ISERROR(VLOOKUP($S$57,'TAR FIN'!$A$1:$O$88,15,0)),0,VLOOKUP($S$57,'TAR FIN'!$A$1:$O$88,15,0))</f>
        <v>21.06</v>
      </c>
      <c r="W57" s="4">
        <f>IF(ISERROR(VLOOKUP($T$57,'TAR FIN'!$A$1:$O$88,15,0)),0,VLOOKUP($T$57,'TAR FIN'!$A$1:$O$88,15,0))</f>
        <v>0</v>
      </c>
      <c r="X57" s="4">
        <f>IF(ISERROR(VLOOKUP($U$57,'TAR FIN'!$A$1:$O$88,15,0)),0,VLOOKUP($U$57,'TAR FIN'!$A$1:$O$88,15,0))</f>
        <v>0</v>
      </c>
      <c r="Y57" s="4">
        <f ca="1">('TUSD BE'!$AM$10+'TUSD BF'!$AM$10+'TUSD CVA'!$AM$10)*1</f>
        <v>29.821869326823354</v>
      </c>
      <c r="Z57" s="4"/>
      <c r="AA57" s="4"/>
      <c r="AB57" s="4">
        <f>$K$57*$V$57</f>
        <v>143629.19999999998</v>
      </c>
      <c r="AC57" s="4">
        <f>$M$57*$W$57</f>
        <v>0</v>
      </c>
      <c r="AD57" s="4">
        <f>$O$57*$X$57</f>
        <v>0</v>
      </c>
      <c r="AE57" s="4">
        <f ca="1">$K$57*$Y$57</f>
        <v>203385.14880893528</v>
      </c>
      <c r="AF57" s="4">
        <f>$M$57*$Z$57</f>
        <v>0</v>
      </c>
      <c r="AG57" s="4">
        <f>$O$57*$AA$57</f>
        <v>0</v>
      </c>
    </row>
    <row r="58" spans="1:33" ht="11.25" customHeight="1" x14ac:dyDescent="0.3">
      <c r="A58" s="3" t="s">
        <v>21</v>
      </c>
      <c r="B58" s="3" t="s">
        <v>35</v>
      </c>
      <c r="C58" s="3" t="s">
        <v>36</v>
      </c>
      <c r="D58" s="3" t="s">
        <v>34</v>
      </c>
      <c r="E58" s="3" t="s">
        <v>25</v>
      </c>
      <c r="F58" s="3" t="s">
        <v>25</v>
      </c>
      <c r="G58" s="3" t="s">
        <v>25</v>
      </c>
      <c r="H58" s="3" t="s">
        <v>25</v>
      </c>
      <c r="I58" s="6">
        <v>44682</v>
      </c>
      <c r="J58" s="4">
        <v>6762</v>
      </c>
      <c r="K58" s="4">
        <v>6762</v>
      </c>
      <c r="L58" s="4">
        <v>0</v>
      </c>
      <c r="M58" s="4">
        <v>0</v>
      </c>
      <c r="N58" s="4">
        <v>0</v>
      </c>
      <c r="O58" s="4">
        <v>0</v>
      </c>
      <c r="P58" s="4">
        <v>16</v>
      </c>
      <c r="Q58" s="3" t="s">
        <v>26</v>
      </c>
      <c r="R58" s="3">
        <v>0</v>
      </c>
      <c r="S58" s="4">
        <v>6</v>
      </c>
      <c r="T58" s="4">
        <v>0</v>
      </c>
      <c r="U58" s="4">
        <v>0</v>
      </c>
      <c r="V58" s="4">
        <f>IF(ISERROR(VLOOKUP($S$58,'TAR FIN'!$A$1:$O$88,15,0)),0,VLOOKUP($S$58,'TAR FIN'!$A$1:$O$88,15,0))</f>
        <v>21.06</v>
      </c>
      <c r="W58" s="4">
        <f>IF(ISERROR(VLOOKUP($T$58,'TAR FIN'!$A$1:$O$88,15,0)),0,VLOOKUP($T$58,'TAR FIN'!$A$1:$O$88,15,0))</f>
        <v>0</v>
      </c>
      <c r="X58" s="4">
        <f>IF(ISERROR(VLOOKUP($U$58,'TAR FIN'!$A$1:$O$88,15,0)),0,VLOOKUP($U$58,'TAR FIN'!$A$1:$O$88,15,0))</f>
        <v>0</v>
      </c>
      <c r="Y58" s="4">
        <f ca="1">('TUSD BE'!$AM$10+'TUSD BF'!$AM$10+'TUSD CVA'!$AM$10)*1</f>
        <v>29.821869326823354</v>
      </c>
      <c r="Z58" s="4"/>
      <c r="AA58" s="4"/>
      <c r="AB58" s="4">
        <f>$K$58*$V$58</f>
        <v>142407.72</v>
      </c>
      <c r="AC58" s="4">
        <f>$M$58*$W$58</f>
        <v>0</v>
      </c>
      <c r="AD58" s="4">
        <f>$O$58*$X$58</f>
        <v>0</v>
      </c>
      <c r="AE58" s="4">
        <f ca="1">$K$58*$Y$58</f>
        <v>201655.48038797951</v>
      </c>
      <c r="AF58" s="4">
        <f>$M$58*$Z$58</f>
        <v>0</v>
      </c>
      <c r="AG58" s="4">
        <f>$O$58*$AA$58</f>
        <v>0</v>
      </c>
    </row>
    <row r="59" spans="1:33" ht="11.25" customHeight="1" x14ac:dyDescent="0.3">
      <c r="A59" s="3" t="s">
        <v>21</v>
      </c>
      <c r="B59" s="3" t="s">
        <v>35</v>
      </c>
      <c r="C59" s="3" t="s">
        <v>36</v>
      </c>
      <c r="D59" s="3" t="s">
        <v>34</v>
      </c>
      <c r="E59" s="3" t="s">
        <v>25</v>
      </c>
      <c r="F59" s="3" t="s">
        <v>25</v>
      </c>
      <c r="G59" s="3" t="s">
        <v>25</v>
      </c>
      <c r="H59" s="3" t="s">
        <v>25</v>
      </c>
      <c r="I59" s="6">
        <v>44713</v>
      </c>
      <c r="J59" s="4">
        <v>6754</v>
      </c>
      <c r="K59" s="4">
        <v>6754</v>
      </c>
      <c r="L59" s="4">
        <v>0</v>
      </c>
      <c r="M59" s="4">
        <v>0</v>
      </c>
      <c r="N59" s="4">
        <v>0</v>
      </c>
      <c r="O59" s="4">
        <v>0</v>
      </c>
      <c r="P59" s="4">
        <v>16</v>
      </c>
      <c r="Q59" s="3" t="s">
        <v>26</v>
      </c>
      <c r="R59" s="3">
        <v>0</v>
      </c>
      <c r="S59" s="4">
        <v>6</v>
      </c>
      <c r="T59" s="4">
        <v>0</v>
      </c>
      <c r="U59" s="4">
        <v>0</v>
      </c>
      <c r="V59" s="4">
        <f>IF(ISERROR(VLOOKUP($S$59,'TAR FIN'!$A$1:$O$88,15,0)),0,VLOOKUP($S$59,'TAR FIN'!$A$1:$O$88,15,0))</f>
        <v>21.06</v>
      </c>
      <c r="W59" s="4">
        <f>IF(ISERROR(VLOOKUP($T$59,'TAR FIN'!$A$1:$O$88,15,0)),0,VLOOKUP($T$59,'TAR FIN'!$A$1:$O$88,15,0))</f>
        <v>0</v>
      </c>
      <c r="X59" s="4">
        <f>IF(ISERROR(VLOOKUP($U$59,'TAR FIN'!$A$1:$O$88,15,0)),0,VLOOKUP($U$59,'TAR FIN'!$A$1:$O$88,15,0))</f>
        <v>0</v>
      </c>
      <c r="Y59" s="4">
        <f ca="1">('TUSD BE'!$AM$10+'TUSD BF'!$AM$10+'TUSD CVA'!$AM$10)*1</f>
        <v>29.821869326823354</v>
      </c>
      <c r="Z59" s="4"/>
      <c r="AA59" s="4"/>
      <c r="AB59" s="4">
        <f>$K$59*$V$59</f>
        <v>142239.24</v>
      </c>
      <c r="AC59" s="4">
        <f>$M$59*$W$59</f>
        <v>0</v>
      </c>
      <c r="AD59" s="4">
        <f>$O$59*$X$59</f>
        <v>0</v>
      </c>
      <c r="AE59" s="4">
        <f ca="1">$K$59*$Y$59</f>
        <v>201416.90543336494</v>
      </c>
      <c r="AF59" s="4">
        <f>$M$59*$Z$59</f>
        <v>0</v>
      </c>
      <c r="AG59" s="4">
        <f>$O$59*$AA$59</f>
        <v>0</v>
      </c>
    </row>
    <row r="60" spans="1:33" ht="11.25" customHeight="1" x14ac:dyDescent="0.3">
      <c r="A60" s="3" t="s">
        <v>21</v>
      </c>
      <c r="B60" s="3" t="s">
        <v>35</v>
      </c>
      <c r="C60" s="3" t="s">
        <v>36</v>
      </c>
      <c r="D60" s="3" t="s">
        <v>34</v>
      </c>
      <c r="E60" s="3" t="s">
        <v>25</v>
      </c>
      <c r="F60" s="3" t="s">
        <v>25</v>
      </c>
      <c r="G60" s="3" t="s">
        <v>25</v>
      </c>
      <c r="H60" s="3" t="s">
        <v>25</v>
      </c>
      <c r="I60" s="6">
        <v>44743</v>
      </c>
      <c r="J60" s="4">
        <v>6303</v>
      </c>
      <c r="K60" s="4">
        <v>6303</v>
      </c>
      <c r="L60" s="4">
        <v>0</v>
      </c>
      <c r="M60" s="4">
        <v>0</v>
      </c>
      <c r="N60" s="4">
        <v>0</v>
      </c>
      <c r="O60" s="4">
        <v>0</v>
      </c>
      <c r="P60" s="4">
        <v>16</v>
      </c>
      <c r="Q60" s="3" t="s">
        <v>26</v>
      </c>
      <c r="R60" s="3">
        <v>0</v>
      </c>
      <c r="S60" s="4">
        <v>6</v>
      </c>
      <c r="T60" s="4">
        <v>0</v>
      </c>
      <c r="U60" s="4">
        <v>0</v>
      </c>
      <c r="V60" s="4">
        <f>IF(ISERROR(VLOOKUP($S$60,'TAR FIN'!$A$1:$O$88,15,0)),0,VLOOKUP($S$60,'TAR FIN'!$A$1:$O$88,15,0))</f>
        <v>21.06</v>
      </c>
      <c r="W60" s="4">
        <f>IF(ISERROR(VLOOKUP($T$60,'TAR FIN'!$A$1:$O$88,15,0)),0,VLOOKUP($T$60,'TAR FIN'!$A$1:$O$88,15,0))</f>
        <v>0</v>
      </c>
      <c r="X60" s="4">
        <f>IF(ISERROR(VLOOKUP($U$60,'TAR FIN'!$A$1:$O$88,15,0)),0,VLOOKUP($U$60,'TAR FIN'!$A$1:$O$88,15,0))</f>
        <v>0</v>
      </c>
      <c r="Y60" s="4">
        <f ca="1">('TUSD BE'!$AM$10+'TUSD BF'!$AM$10+'TUSD CVA'!$AM$10)*1</f>
        <v>29.821869326823354</v>
      </c>
      <c r="Z60" s="4"/>
      <c r="AA60" s="4"/>
      <c r="AB60" s="4">
        <f>$K$60*$V$60</f>
        <v>132741.18</v>
      </c>
      <c r="AC60" s="4">
        <f>$M$60*$W$60</f>
        <v>0</v>
      </c>
      <c r="AD60" s="4">
        <f>$O$60*$X$60</f>
        <v>0</v>
      </c>
      <c r="AE60" s="4">
        <f ca="1">$K$60*$Y$60</f>
        <v>187967.24236696761</v>
      </c>
      <c r="AF60" s="4">
        <f>$M$60*$Z$60</f>
        <v>0</v>
      </c>
      <c r="AG60" s="4">
        <f>$O$60*$AA$60</f>
        <v>0</v>
      </c>
    </row>
    <row r="61" spans="1:33" ht="11.25" customHeight="1" x14ac:dyDescent="0.3">
      <c r="A61" s="3" t="s">
        <v>55</v>
      </c>
      <c r="B61" s="3" t="s">
        <v>35</v>
      </c>
      <c r="C61" s="3" t="s">
        <v>36</v>
      </c>
      <c r="D61" s="3" t="s">
        <v>34</v>
      </c>
      <c r="E61" s="3" t="s">
        <v>25</v>
      </c>
      <c r="F61" s="3" t="s">
        <v>25</v>
      </c>
      <c r="G61" s="3" t="s">
        <v>25</v>
      </c>
      <c r="H61" s="3" t="s">
        <v>25</v>
      </c>
      <c r="I61" s="6">
        <v>44774</v>
      </c>
      <c r="J61" s="4">
        <v>6303</v>
      </c>
      <c r="K61" s="4">
        <v>6303</v>
      </c>
      <c r="L61" s="4">
        <v>0</v>
      </c>
      <c r="M61" s="4">
        <v>0</v>
      </c>
      <c r="N61" s="4">
        <v>0</v>
      </c>
      <c r="O61" s="4">
        <v>0</v>
      </c>
      <c r="P61" s="4">
        <v>16</v>
      </c>
      <c r="Q61" s="3" t="s">
        <v>26</v>
      </c>
      <c r="R61" s="3">
        <v>0</v>
      </c>
      <c r="S61" s="4">
        <v>6</v>
      </c>
      <c r="T61" s="4">
        <v>0</v>
      </c>
      <c r="U61" s="4">
        <v>0</v>
      </c>
      <c r="V61" s="4">
        <f>IF(ISERROR(VLOOKUP($S$61,'TAR FIN'!$A$1:$O$88,15,0)),0,VLOOKUP($S$61,'TAR FIN'!$A$1:$O$88,15,0))</f>
        <v>21.06</v>
      </c>
      <c r="W61" s="4">
        <f>IF(ISERROR(VLOOKUP($T$61,'TAR FIN'!$A$1:$O$88,15,0)),0,VLOOKUP($T$61,'TAR FIN'!$A$1:$O$88,15,0))</f>
        <v>0</v>
      </c>
      <c r="X61" s="4">
        <f>IF(ISERROR(VLOOKUP($U$61,'TAR FIN'!$A$1:$O$88,15,0)),0,VLOOKUP($U$61,'TAR FIN'!$A$1:$O$88,15,0))</f>
        <v>0</v>
      </c>
      <c r="Y61" s="4">
        <f ca="1">('TUSD BE'!$AM$10+'TUSD BF'!$AM$10+'TUSD CVA'!$AM$10)*1</f>
        <v>29.821869326823354</v>
      </c>
      <c r="Z61" s="4"/>
      <c r="AA61" s="4"/>
      <c r="AB61" s="4">
        <f>$K$61*$V$61</f>
        <v>132741.18</v>
      </c>
      <c r="AC61" s="4">
        <f>$M$61*$W$61</f>
        <v>0</v>
      </c>
      <c r="AD61" s="4">
        <f>$O$61*$X$61</f>
        <v>0</v>
      </c>
      <c r="AE61" s="4">
        <f ca="1">$K$61*$Y$61</f>
        <v>187967.24236696761</v>
      </c>
      <c r="AF61" s="4">
        <f>$M$61*$Z$61</f>
        <v>0</v>
      </c>
      <c r="AG61" s="4">
        <f>$O$61*$AA$61</f>
        <v>0</v>
      </c>
    </row>
    <row r="62" spans="1:33" ht="11.25" customHeight="1" x14ac:dyDescent="0.3">
      <c r="A62" s="3" t="s">
        <v>21</v>
      </c>
      <c r="B62" s="3" t="s">
        <v>35</v>
      </c>
      <c r="C62" s="3" t="s">
        <v>36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37</v>
      </c>
      <c r="I62" s="6">
        <v>44440</v>
      </c>
      <c r="J62" s="4">
        <v>0</v>
      </c>
      <c r="K62" s="4">
        <v>0</v>
      </c>
      <c r="L62" s="4">
        <v>125.227</v>
      </c>
      <c r="M62" s="4">
        <v>125.227</v>
      </c>
      <c r="N62" s="4">
        <v>125.227</v>
      </c>
      <c r="O62" s="4">
        <v>125.227</v>
      </c>
      <c r="P62" s="4">
        <v>0</v>
      </c>
      <c r="Q62" s="3" t="s">
        <v>26</v>
      </c>
      <c r="R62" s="3">
        <v>0</v>
      </c>
      <c r="S62" s="4">
        <v>0</v>
      </c>
      <c r="T62" s="4">
        <v>7</v>
      </c>
      <c r="U62" s="4">
        <v>50</v>
      </c>
      <c r="V62" s="4">
        <f>IF(ISERROR(VLOOKUP($S$62,'TAR FIN'!$A$1:$O$88,15,0)),0,VLOOKUP($S$62,'TAR FIN'!$A$1:$O$88,15,0))</f>
        <v>0</v>
      </c>
      <c r="W62" s="4">
        <f>IF(ISERROR(VLOOKUP($T$62,'TAR FIN'!$A$1:$O$88,15,0)),0,VLOOKUP($T$62,'TAR FIN'!$A$1:$O$88,15,0))</f>
        <v>1568.04</v>
      </c>
      <c r="X62" s="4">
        <f>IF(ISERROR(VLOOKUP($U$62,'TAR FIN'!$A$1:$O$88,15,0)),0,VLOOKUP($U$62,'TAR FIN'!$A$1:$O$88,15,0))</f>
        <v>242.35</v>
      </c>
      <c r="Y62" s="4"/>
      <c r="Z62" s="4">
        <f ca="1">('TUSD BE'!$AM$11+'TUSD BF'!$AM$11+'TUSD CVA'!$AM$11)*1</f>
        <v>2263.994888127495</v>
      </c>
      <c r="AA62" s="4">
        <f>('TE BE'!$AB$5+'TE BF'!$AB$5+'TE CVA'!$AB$5)*1</f>
        <v>191.00751406315655</v>
      </c>
      <c r="AB62" s="4">
        <f>$K$62*$V$62</f>
        <v>0</v>
      </c>
      <c r="AC62" s="4">
        <f>$M$62*$W$62</f>
        <v>196360.94508</v>
      </c>
      <c r="AD62" s="4">
        <f>$O$62*$X$62</f>
        <v>30348.763449999999</v>
      </c>
      <c r="AE62" s="4">
        <f>$K$62*$Y$62</f>
        <v>0</v>
      </c>
      <c r="AF62" s="4">
        <f ca="1">$M$62*$Z$62</f>
        <v>283513.2878555418</v>
      </c>
      <c r="AG62" s="4">
        <f>$O$62*$AA$62</f>
        <v>23919.297963586905</v>
      </c>
    </row>
    <row r="63" spans="1:33" ht="11.25" customHeight="1" x14ac:dyDescent="0.3">
      <c r="A63" s="3" t="s">
        <v>21</v>
      </c>
      <c r="B63" s="3" t="s">
        <v>35</v>
      </c>
      <c r="C63" s="3" t="s">
        <v>36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37</v>
      </c>
      <c r="I63" s="6">
        <v>44470</v>
      </c>
      <c r="J63" s="4">
        <v>0</v>
      </c>
      <c r="K63" s="4">
        <v>0</v>
      </c>
      <c r="L63" s="4">
        <v>115.479</v>
      </c>
      <c r="M63" s="4">
        <v>115.479</v>
      </c>
      <c r="N63" s="4">
        <v>115.479</v>
      </c>
      <c r="O63" s="4">
        <v>115.479</v>
      </c>
      <c r="P63" s="4">
        <v>0</v>
      </c>
      <c r="Q63" s="3" t="s">
        <v>26</v>
      </c>
      <c r="R63" s="3">
        <v>0</v>
      </c>
      <c r="S63" s="4">
        <v>0</v>
      </c>
      <c r="T63" s="4">
        <v>7</v>
      </c>
      <c r="U63" s="4">
        <v>50</v>
      </c>
      <c r="V63" s="4">
        <f>IF(ISERROR(VLOOKUP($S$63,'TAR FIN'!$A$1:$O$88,15,0)),0,VLOOKUP($S$63,'TAR FIN'!$A$1:$O$88,15,0))</f>
        <v>0</v>
      </c>
      <c r="W63" s="4">
        <f>IF(ISERROR(VLOOKUP($T$63,'TAR FIN'!$A$1:$O$88,15,0)),0,VLOOKUP($T$63,'TAR FIN'!$A$1:$O$88,15,0))</f>
        <v>1568.04</v>
      </c>
      <c r="X63" s="4">
        <f>IF(ISERROR(VLOOKUP($U$63,'TAR FIN'!$A$1:$O$88,15,0)),0,VLOOKUP($U$63,'TAR FIN'!$A$1:$O$88,15,0))</f>
        <v>242.35</v>
      </c>
      <c r="Y63" s="4"/>
      <c r="Z63" s="4">
        <f ca="1">('TUSD BE'!$AM$11+'TUSD BF'!$AM$11+'TUSD CVA'!$AM$11)*1</f>
        <v>2263.994888127495</v>
      </c>
      <c r="AA63" s="4">
        <f>('TE BE'!$AB$5+'TE BF'!$AB$5+'TE CVA'!$AB$5)*1</f>
        <v>191.00751406315655</v>
      </c>
      <c r="AB63" s="4">
        <f>$K$63*$V$63</f>
        <v>0</v>
      </c>
      <c r="AC63" s="4">
        <f>$M$63*$W$63</f>
        <v>181075.69115999999</v>
      </c>
      <c r="AD63" s="4">
        <f>$O$63*$X$63</f>
        <v>27986.335650000001</v>
      </c>
      <c r="AE63" s="4">
        <f>$K$63*$Y$63</f>
        <v>0</v>
      </c>
      <c r="AF63" s="4">
        <f ca="1">$M$63*$Z$63</f>
        <v>261443.86568607498</v>
      </c>
      <c r="AG63" s="4">
        <f>$O$63*$AA$63</f>
        <v>22057.356716499256</v>
      </c>
    </row>
    <row r="64" spans="1:33" ht="11.25" customHeight="1" x14ac:dyDescent="0.3">
      <c r="A64" s="3" t="s">
        <v>21</v>
      </c>
      <c r="B64" s="3" t="s">
        <v>35</v>
      </c>
      <c r="C64" s="3" t="s">
        <v>36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37</v>
      </c>
      <c r="I64" s="6">
        <v>44501</v>
      </c>
      <c r="J64" s="4">
        <v>0</v>
      </c>
      <c r="K64" s="4">
        <v>0</v>
      </c>
      <c r="L64" s="4">
        <v>118.11499999999999</v>
      </c>
      <c r="M64" s="4">
        <v>118.11499999999999</v>
      </c>
      <c r="N64" s="4">
        <v>118.11499999999999</v>
      </c>
      <c r="O64" s="4">
        <v>118.11499999999999</v>
      </c>
      <c r="P64" s="4">
        <v>0</v>
      </c>
      <c r="Q64" s="3" t="s">
        <v>26</v>
      </c>
      <c r="R64" s="3">
        <v>0</v>
      </c>
      <c r="S64" s="4">
        <v>0</v>
      </c>
      <c r="T64" s="4">
        <v>7</v>
      </c>
      <c r="U64" s="4">
        <v>50</v>
      </c>
      <c r="V64" s="4">
        <f>IF(ISERROR(VLOOKUP($S$64,'TAR FIN'!$A$1:$O$88,15,0)),0,VLOOKUP($S$64,'TAR FIN'!$A$1:$O$88,15,0))</f>
        <v>0</v>
      </c>
      <c r="W64" s="4">
        <f>IF(ISERROR(VLOOKUP($T$64,'TAR FIN'!$A$1:$O$88,15,0)),0,VLOOKUP($T$64,'TAR FIN'!$A$1:$O$88,15,0))</f>
        <v>1568.04</v>
      </c>
      <c r="X64" s="4">
        <f>IF(ISERROR(VLOOKUP($U$64,'TAR FIN'!$A$1:$O$88,15,0)),0,VLOOKUP($U$64,'TAR FIN'!$A$1:$O$88,15,0))</f>
        <v>242.35</v>
      </c>
      <c r="Y64" s="4"/>
      <c r="Z64" s="4">
        <f ca="1">('TUSD BE'!$AM$11+'TUSD BF'!$AM$11+'TUSD CVA'!$AM$11)*1</f>
        <v>2263.994888127495</v>
      </c>
      <c r="AA64" s="4">
        <f>('TE BE'!$AB$5+'TE BF'!$AB$5+'TE CVA'!$AB$5)*1</f>
        <v>191.00751406315655</v>
      </c>
      <c r="AB64" s="4">
        <f>$K$64*$V$64</f>
        <v>0</v>
      </c>
      <c r="AC64" s="4">
        <f>$M$64*$W$64</f>
        <v>185209.04459999999</v>
      </c>
      <c r="AD64" s="4">
        <f>$O$64*$X$64</f>
        <v>28625.170249999999</v>
      </c>
      <c r="AE64" s="4">
        <f>$K$64*$Y$64</f>
        <v>0</v>
      </c>
      <c r="AF64" s="4">
        <f ca="1">$M$64*$Z$64</f>
        <v>267411.75621117908</v>
      </c>
      <c r="AG64" s="4">
        <f>$O$64*$AA$64</f>
        <v>22560.852523569734</v>
      </c>
    </row>
    <row r="65" spans="1:33" ht="11.25" customHeight="1" x14ac:dyDescent="0.3">
      <c r="A65" s="3" t="s">
        <v>21</v>
      </c>
      <c r="B65" s="3" t="s">
        <v>35</v>
      </c>
      <c r="C65" s="3" t="s">
        <v>36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37</v>
      </c>
      <c r="I65" s="6">
        <v>44531</v>
      </c>
      <c r="J65" s="4">
        <v>0</v>
      </c>
      <c r="K65" s="4">
        <v>0</v>
      </c>
      <c r="L65" s="4">
        <v>138.297</v>
      </c>
      <c r="M65" s="4">
        <v>138.297</v>
      </c>
      <c r="N65" s="4">
        <v>138.297</v>
      </c>
      <c r="O65" s="4">
        <v>138.297</v>
      </c>
      <c r="P65" s="4">
        <v>0</v>
      </c>
      <c r="Q65" s="3" t="s">
        <v>26</v>
      </c>
      <c r="R65" s="3">
        <v>0</v>
      </c>
      <c r="S65" s="4">
        <v>0</v>
      </c>
      <c r="T65" s="4">
        <v>7</v>
      </c>
      <c r="U65" s="4">
        <v>50</v>
      </c>
      <c r="V65" s="4">
        <f>IF(ISERROR(VLOOKUP($S$65,'TAR FIN'!$A$1:$O$88,15,0)),0,VLOOKUP($S$65,'TAR FIN'!$A$1:$O$88,15,0))</f>
        <v>0</v>
      </c>
      <c r="W65" s="4">
        <f>IF(ISERROR(VLOOKUP($T$65,'TAR FIN'!$A$1:$O$88,15,0)),0,VLOOKUP($T$65,'TAR FIN'!$A$1:$O$88,15,0))</f>
        <v>1568.04</v>
      </c>
      <c r="X65" s="4">
        <f>IF(ISERROR(VLOOKUP($U$65,'TAR FIN'!$A$1:$O$88,15,0)),0,VLOOKUP($U$65,'TAR FIN'!$A$1:$O$88,15,0))</f>
        <v>242.35</v>
      </c>
      <c r="Y65" s="4"/>
      <c r="Z65" s="4">
        <f ca="1">('TUSD BE'!$AM$11+'TUSD BF'!$AM$11+'TUSD CVA'!$AM$11)*1</f>
        <v>2263.994888127495</v>
      </c>
      <c r="AA65" s="4">
        <f>('TE BE'!$AB$5+'TE BF'!$AB$5+'TE CVA'!$AB$5)*1</f>
        <v>191.00751406315655</v>
      </c>
      <c r="AB65" s="4">
        <f>$K$65*$V$65</f>
        <v>0</v>
      </c>
      <c r="AC65" s="4">
        <f>$M$65*$W$65</f>
        <v>216855.22787999999</v>
      </c>
      <c r="AD65" s="4">
        <f>$O$65*$X$65</f>
        <v>33516.277949999996</v>
      </c>
      <c r="AE65" s="4">
        <f>$K$65*$Y$65</f>
        <v>0</v>
      </c>
      <c r="AF65" s="4">
        <f ca="1">$M$65*$Z$65</f>
        <v>313103.70104336814</v>
      </c>
      <c r="AG65" s="4">
        <f>$O$65*$AA$65</f>
        <v>26415.766172392359</v>
      </c>
    </row>
    <row r="66" spans="1:33" ht="11.25" customHeight="1" x14ac:dyDescent="0.3">
      <c r="A66" s="3" t="s">
        <v>21</v>
      </c>
      <c r="B66" s="3" t="s">
        <v>35</v>
      </c>
      <c r="C66" s="3" t="s">
        <v>36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37</v>
      </c>
      <c r="I66" s="6">
        <v>44562</v>
      </c>
      <c r="J66" s="4">
        <v>0</v>
      </c>
      <c r="K66" s="4">
        <v>0</v>
      </c>
      <c r="L66" s="4">
        <v>149.96299999999999</v>
      </c>
      <c r="M66" s="4">
        <v>149.96299999999999</v>
      </c>
      <c r="N66" s="4">
        <v>149.96299999999999</v>
      </c>
      <c r="O66" s="4">
        <v>149.96299999999999</v>
      </c>
      <c r="P66" s="4">
        <v>0</v>
      </c>
      <c r="Q66" s="3" t="s">
        <v>26</v>
      </c>
      <c r="R66" s="3">
        <v>0</v>
      </c>
      <c r="S66" s="4">
        <v>0</v>
      </c>
      <c r="T66" s="4">
        <v>7</v>
      </c>
      <c r="U66" s="4">
        <v>50</v>
      </c>
      <c r="V66" s="4">
        <f>IF(ISERROR(VLOOKUP($S$66,'TAR FIN'!$A$1:$O$88,15,0)),0,VLOOKUP($S$66,'TAR FIN'!$A$1:$O$88,15,0))</f>
        <v>0</v>
      </c>
      <c r="W66" s="4">
        <f>IF(ISERROR(VLOOKUP($T$66,'TAR FIN'!$A$1:$O$88,15,0)),0,VLOOKUP($T$66,'TAR FIN'!$A$1:$O$88,15,0))</f>
        <v>1568.04</v>
      </c>
      <c r="X66" s="4">
        <f>IF(ISERROR(VLOOKUP($U$66,'TAR FIN'!$A$1:$O$88,15,0)),0,VLOOKUP($U$66,'TAR FIN'!$A$1:$O$88,15,0))</f>
        <v>242.35</v>
      </c>
      <c r="Y66" s="4"/>
      <c r="Z66" s="4">
        <f ca="1">('TUSD BE'!$AM$11+'TUSD BF'!$AM$11+'TUSD CVA'!$AM$11)*1</f>
        <v>2263.994888127495</v>
      </c>
      <c r="AA66" s="4">
        <f>('TE BE'!$AB$5+'TE BF'!$AB$5+'TE CVA'!$AB$5)*1</f>
        <v>191.00751406315655</v>
      </c>
      <c r="AB66" s="4">
        <f>$K$66*$V$66</f>
        <v>0</v>
      </c>
      <c r="AC66" s="4">
        <f>$M$66*$W$66</f>
        <v>235147.98251999999</v>
      </c>
      <c r="AD66" s="4">
        <f>$O$66*$X$66</f>
        <v>36343.533049999998</v>
      </c>
      <c r="AE66" s="4">
        <f>$K$66*$Y$66</f>
        <v>0</v>
      </c>
      <c r="AF66" s="4">
        <f ca="1">$M$66*$Z$66</f>
        <v>339515.4654082635</v>
      </c>
      <c r="AG66" s="4">
        <f>$O$66*$AA$66</f>
        <v>28644.059831453145</v>
      </c>
    </row>
    <row r="67" spans="1:33" ht="11.25" customHeight="1" x14ac:dyDescent="0.3">
      <c r="A67" s="3" t="s">
        <v>21</v>
      </c>
      <c r="B67" s="3" t="s">
        <v>35</v>
      </c>
      <c r="C67" s="3" t="s">
        <v>36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37</v>
      </c>
      <c r="I67" s="6">
        <v>44593</v>
      </c>
      <c r="J67" s="4">
        <v>0</v>
      </c>
      <c r="K67" s="4">
        <v>0</v>
      </c>
      <c r="L67" s="4">
        <v>148.72</v>
      </c>
      <c r="M67" s="4">
        <v>148.72</v>
      </c>
      <c r="N67" s="4">
        <v>148.72</v>
      </c>
      <c r="O67" s="4">
        <v>148.72</v>
      </c>
      <c r="P67" s="4">
        <v>0</v>
      </c>
      <c r="Q67" s="3" t="s">
        <v>26</v>
      </c>
      <c r="R67" s="3">
        <v>0</v>
      </c>
      <c r="S67" s="4">
        <v>0</v>
      </c>
      <c r="T67" s="4">
        <v>7</v>
      </c>
      <c r="U67" s="4">
        <v>50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1568.04</v>
      </c>
      <c r="X67" s="4">
        <f>IF(ISERROR(VLOOKUP($U$67,'TAR FIN'!$A$1:$O$88,15,0)),0,VLOOKUP($U$67,'TAR FIN'!$A$1:$O$88,15,0))</f>
        <v>242.35</v>
      </c>
      <c r="Y67" s="4"/>
      <c r="Z67" s="4">
        <f ca="1">('TUSD BE'!$AM$11+'TUSD BF'!$AM$11+'TUSD CVA'!$AM$11)*1</f>
        <v>2263.994888127495</v>
      </c>
      <c r="AA67" s="4">
        <f>('TE BE'!$AB$5+'TE BF'!$AB$5+'TE CVA'!$AB$5)*1</f>
        <v>191.00751406315655</v>
      </c>
      <c r="AB67" s="4">
        <f>$K$67*$V$67</f>
        <v>0</v>
      </c>
      <c r="AC67" s="4">
        <f>$M$67*$W$67</f>
        <v>233198.9088</v>
      </c>
      <c r="AD67" s="4">
        <f>$O$67*$X$67</f>
        <v>36042.292000000001</v>
      </c>
      <c r="AE67" s="4">
        <f>$K$67*$Y$67</f>
        <v>0</v>
      </c>
      <c r="AF67" s="4">
        <f ca="1">$M$67*$Z$67</f>
        <v>336701.31976232107</v>
      </c>
      <c r="AG67" s="4">
        <f>$O$67*$AA$67</f>
        <v>28406.63749147264</v>
      </c>
    </row>
    <row r="68" spans="1:33" ht="11.25" customHeight="1" x14ac:dyDescent="0.3">
      <c r="A68" s="3" t="s">
        <v>21</v>
      </c>
      <c r="B68" s="3" t="s">
        <v>35</v>
      </c>
      <c r="C68" s="3" t="s">
        <v>36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37</v>
      </c>
      <c r="I68" s="6">
        <v>44621</v>
      </c>
      <c r="J68" s="4">
        <v>0</v>
      </c>
      <c r="K68" s="4">
        <v>0</v>
      </c>
      <c r="L68" s="4">
        <v>138.72399999999999</v>
      </c>
      <c r="M68" s="4">
        <v>138.72399999999999</v>
      </c>
      <c r="N68" s="4">
        <v>138.72399999999999</v>
      </c>
      <c r="O68" s="4">
        <v>138.72399999999999</v>
      </c>
      <c r="P68" s="4">
        <v>0</v>
      </c>
      <c r="Q68" s="3" t="s">
        <v>26</v>
      </c>
      <c r="R68" s="3">
        <v>0</v>
      </c>
      <c r="S68" s="4">
        <v>0</v>
      </c>
      <c r="T68" s="4">
        <v>7</v>
      </c>
      <c r="U68" s="4">
        <v>50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1568.04</v>
      </c>
      <c r="X68" s="4">
        <f>IF(ISERROR(VLOOKUP($U$68,'TAR FIN'!$A$1:$O$88,15,0)),0,VLOOKUP($U$68,'TAR FIN'!$A$1:$O$88,15,0))</f>
        <v>242.35</v>
      </c>
      <c r="Y68" s="4"/>
      <c r="Z68" s="4">
        <f ca="1">('TUSD BE'!$AM$11+'TUSD BF'!$AM$11+'TUSD CVA'!$AM$11)*1</f>
        <v>2263.994888127495</v>
      </c>
      <c r="AA68" s="4">
        <f>('TE BE'!$AB$5+'TE BF'!$AB$5+'TE CVA'!$AB$5)*1</f>
        <v>191.00751406315655</v>
      </c>
      <c r="AB68" s="4">
        <f>$K$68*$V$68</f>
        <v>0</v>
      </c>
      <c r="AC68" s="4">
        <f>$M$68*$W$68</f>
        <v>217524.78095999997</v>
      </c>
      <c r="AD68" s="4">
        <f>$O$68*$X$68</f>
        <v>33619.761399999996</v>
      </c>
      <c r="AE68" s="4">
        <f>$K$68*$Y$68</f>
        <v>0</v>
      </c>
      <c r="AF68" s="4">
        <f ca="1">$M$68*$Z$68</f>
        <v>314070.42686059861</v>
      </c>
      <c r="AG68" s="4">
        <f>$O$68*$AA$68</f>
        <v>26497.326380897328</v>
      </c>
    </row>
    <row r="69" spans="1:33" ht="11.25" customHeight="1" x14ac:dyDescent="0.3">
      <c r="A69" s="3" t="s">
        <v>21</v>
      </c>
      <c r="B69" s="3" t="s">
        <v>35</v>
      </c>
      <c r="C69" s="3" t="s">
        <v>36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37</v>
      </c>
      <c r="I69" s="6">
        <v>44652</v>
      </c>
      <c r="J69" s="4">
        <v>0</v>
      </c>
      <c r="K69" s="4">
        <v>0</v>
      </c>
      <c r="L69" s="4">
        <v>114.376</v>
      </c>
      <c r="M69" s="4">
        <v>114.376</v>
      </c>
      <c r="N69" s="4">
        <v>114.376</v>
      </c>
      <c r="O69" s="4">
        <v>114.376</v>
      </c>
      <c r="P69" s="4">
        <v>0</v>
      </c>
      <c r="Q69" s="3" t="s">
        <v>26</v>
      </c>
      <c r="R69" s="3">
        <v>0</v>
      </c>
      <c r="S69" s="4">
        <v>0</v>
      </c>
      <c r="T69" s="4">
        <v>7</v>
      </c>
      <c r="U69" s="4">
        <v>50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1568.04</v>
      </c>
      <c r="X69" s="4">
        <f>IF(ISERROR(VLOOKUP($U$69,'TAR FIN'!$A$1:$O$88,15,0)),0,VLOOKUP($U$69,'TAR FIN'!$A$1:$O$88,15,0))</f>
        <v>242.35</v>
      </c>
      <c r="Y69" s="4"/>
      <c r="Z69" s="4">
        <f ca="1">('TUSD BE'!$AM$11+'TUSD BF'!$AM$11+'TUSD CVA'!$AM$11)*1</f>
        <v>2263.994888127495</v>
      </c>
      <c r="AA69" s="4">
        <f>('TE BE'!$AB$5+'TE BF'!$AB$5+'TE CVA'!$AB$5)*1</f>
        <v>191.00751406315655</v>
      </c>
      <c r="AB69" s="4">
        <f>$K$69*$V$69</f>
        <v>0</v>
      </c>
      <c r="AC69" s="4">
        <f>$M$69*$W$69</f>
        <v>179346.14304</v>
      </c>
      <c r="AD69" s="4">
        <f>$O$69*$X$69</f>
        <v>27719.0236</v>
      </c>
      <c r="AE69" s="4">
        <f>$K$69*$Y$69</f>
        <v>0</v>
      </c>
      <c r="AF69" s="4">
        <f ca="1">$M$69*$Z$69</f>
        <v>258946.67932447037</v>
      </c>
      <c r="AG69" s="4">
        <f>$O$69*$AA$69</f>
        <v>21846.675428487593</v>
      </c>
    </row>
    <row r="70" spans="1:33" ht="11.25" customHeight="1" x14ac:dyDescent="0.3">
      <c r="A70" s="3" t="s">
        <v>21</v>
      </c>
      <c r="B70" s="3" t="s">
        <v>35</v>
      </c>
      <c r="C70" s="3" t="s">
        <v>36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37</v>
      </c>
      <c r="I70" s="6">
        <v>44682</v>
      </c>
      <c r="J70" s="4">
        <v>0</v>
      </c>
      <c r="K70" s="4">
        <v>0</v>
      </c>
      <c r="L70" s="4">
        <v>136.83500000000001</v>
      </c>
      <c r="M70" s="4">
        <v>136.83500000000001</v>
      </c>
      <c r="N70" s="4">
        <v>136.83500000000001</v>
      </c>
      <c r="O70" s="4">
        <v>136.83500000000001</v>
      </c>
      <c r="P70" s="4">
        <v>0</v>
      </c>
      <c r="Q70" s="3" t="s">
        <v>26</v>
      </c>
      <c r="R70" s="3">
        <v>0</v>
      </c>
      <c r="S70" s="4">
        <v>0</v>
      </c>
      <c r="T70" s="4">
        <v>7</v>
      </c>
      <c r="U70" s="4">
        <v>50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1568.04</v>
      </c>
      <c r="X70" s="4">
        <f>IF(ISERROR(VLOOKUP($U$70,'TAR FIN'!$A$1:$O$88,15,0)),0,VLOOKUP($U$70,'TAR FIN'!$A$1:$O$88,15,0))</f>
        <v>242.35</v>
      </c>
      <c r="Y70" s="4"/>
      <c r="Z70" s="4">
        <f ca="1">('TUSD BE'!$AM$11+'TUSD BF'!$AM$11+'TUSD CVA'!$AM$11)*1</f>
        <v>2263.994888127495</v>
      </c>
      <c r="AA70" s="4">
        <f>('TE BE'!$AB$5+'TE BF'!$AB$5+'TE CVA'!$AB$5)*1</f>
        <v>191.00751406315655</v>
      </c>
      <c r="AB70" s="4">
        <f>$K$70*$V$70</f>
        <v>0</v>
      </c>
      <c r="AC70" s="4">
        <f>$M$70*$W$70</f>
        <v>214562.75340000002</v>
      </c>
      <c r="AD70" s="4">
        <f>$O$70*$X$70</f>
        <v>33161.962250000004</v>
      </c>
      <c r="AE70" s="4">
        <f>$K$70*$Y$70</f>
        <v>0</v>
      </c>
      <c r="AF70" s="4">
        <f ca="1">$M$70*$Z$70</f>
        <v>309793.74051692581</v>
      </c>
      <c r="AG70" s="4">
        <f>$O$70*$AA$70</f>
        <v>26136.513186832028</v>
      </c>
    </row>
    <row r="71" spans="1:33" ht="11.25" customHeight="1" x14ac:dyDescent="0.3">
      <c r="A71" s="3" t="s">
        <v>21</v>
      </c>
      <c r="B71" s="3" t="s">
        <v>35</v>
      </c>
      <c r="C71" s="3" t="s">
        <v>36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37</v>
      </c>
      <c r="I71" s="6">
        <v>44713</v>
      </c>
      <c r="J71" s="4">
        <v>0</v>
      </c>
      <c r="K71" s="4">
        <v>0</v>
      </c>
      <c r="L71" s="4">
        <v>109.89700000000001</v>
      </c>
      <c r="M71" s="4">
        <v>109.89700000000001</v>
      </c>
      <c r="N71" s="4">
        <v>109.89700000000001</v>
      </c>
      <c r="O71" s="4">
        <v>109.89700000000001</v>
      </c>
      <c r="P71" s="4">
        <v>0</v>
      </c>
      <c r="Q71" s="3" t="s">
        <v>26</v>
      </c>
      <c r="R71" s="3">
        <v>0</v>
      </c>
      <c r="S71" s="4">
        <v>0</v>
      </c>
      <c r="T71" s="4">
        <v>7</v>
      </c>
      <c r="U71" s="4">
        <v>50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1568.04</v>
      </c>
      <c r="X71" s="4">
        <f>IF(ISERROR(VLOOKUP($U$71,'TAR FIN'!$A$1:$O$88,15,0)),0,VLOOKUP($U$71,'TAR FIN'!$A$1:$O$88,15,0))</f>
        <v>242.35</v>
      </c>
      <c r="Y71" s="4"/>
      <c r="Z71" s="4">
        <f ca="1">('TUSD BE'!$AM$11+'TUSD BF'!$AM$11+'TUSD CVA'!$AM$11)*1</f>
        <v>2263.994888127495</v>
      </c>
      <c r="AA71" s="4">
        <f>('TE BE'!$AB$5+'TE BF'!$AB$5+'TE CVA'!$AB$5)*1</f>
        <v>191.00751406315655</v>
      </c>
      <c r="AB71" s="4">
        <f>$K$71*$V$71</f>
        <v>0</v>
      </c>
      <c r="AC71" s="4">
        <f>$M$71*$W$71</f>
        <v>172322.89188000001</v>
      </c>
      <c r="AD71" s="4">
        <f>$O$71*$X$71</f>
        <v>26633.537950000002</v>
      </c>
      <c r="AE71" s="4">
        <f>$K$71*$Y$71</f>
        <v>0</v>
      </c>
      <c r="AF71" s="4">
        <f ca="1">$M$71*$Z$71</f>
        <v>248806.24622054733</v>
      </c>
      <c r="AG71" s="4">
        <f>$O$71*$AA$71</f>
        <v>20991.152772998717</v>
      </c>
    </row>
    <row r="72" spans="1:33" ht="11.25" customHeight="1" x14ac:dyDescent="0.3">
      <c r="A72" s="3" t="s">
        <v>21</v>
      </c>
      <c r="B72" s="3" t="s">
        <v>35</v>
      </c>
      <c r="C72" s="3" t="s">
        <v>36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37</v>
      </c>
      <c r="I72" s="6">
        <v>44743</v>
      </c>
      <c r="J72" s="4">
        <v>0</v>
      </c>
      <c r="K72" s="4">
        <v>0</v>
      </c>
      <c r="L72" s="4">
        <v>114.94499999999999</v>
      </c>
      <c r="M72" s="4">
        <v>114.94499999999999</v>
      </c>
      <c r="N72" s="4">
        <v>114.94499999999999</v>
      </c>
      <c r="O72" s="4">
        <v>114.94499999999999</v>
      </c>
      <c r="P72" s="4">
        <v>0</v>
      </c>
      <c r="Q72" s="3" t="s">
        <v>26</v>
      </c>
      <c r="R72" s="3">
        <v>0</v>
      </c>
      <c r="S72" s="4">
        <v>0</v>
      </c>
      <c r="T72" s="4">
        <v>7</v>
      </c>
      <c r="U72" s="4">
        <v>50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1568.04</v>
      </c>
      <c r="X72" s="4">
        <f>IF(ISERROR(VLOOKUP($U$72,'TAR FIN'!$A$1:$O$88,15,0)),0,VLOOKUP($U$72,'TAR FIN'!$A$1:$O$88,15,0))</f>
        <v>242.35</v>
      </c>
      <c r="Y72" s="4"/>
      <c r="Z72" s="4">
        <f ca="1">('TUSD BE'!$AM$11+'TUSD BF'!$AM$11+'TUSD CVA'!$AM$11)*1</f>
        <v>2263.994888127495</v>
      </c>
      <c r="AA72" s="4">
        <f>('TE BE'!$AB$5+'TE BF'!$AB$5+'TE CVA'!$AB$5)*1</f>
        <v>191.00751406315655</v>
      </c>
      <c r="AB72" s="4">
        <f>$K$72*$V$72</f>
        <v>0</v>
      </c>
      <c r="AC72" s="4">
        <f>$M$72*$W$72</f>
        <v>180238.3578</v>
      </c>
      <c r="AD72" s="4">
        <f>$O$72*$X$72</f>
        <v>27856.920749999997</v>
      </c>
      <c r="AE72" s="4">
        <f>$K$72*$Y$72</f>
        <v>0</v>
      </c>
      <c r="AF72" s="4">
        <f ca="1">$M$72*$Z$72</f>
        <v>260234.89241581489</v>
      </c>
      <c r="AG72" s="4">
        <f>$O$72*$AA$72</f>
        <v>21955.358703989528</v>
      </c>
    </row>
    <row r="73" spans="1:33" ht="11.25" customHeight="1" x14ac:dyDescent="0.3">
      <c r="A73" s="3" t="s">
        <v>55</v>
      </c>
      <c r="B73" s="3" t="s">
        <v>35</v>
      </c>
      <c r="C73" s="3" t="s">
        <v>36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37</v>
      </c>
      <c r="I73" s="6">
        <v>44774</v>
      </c>
      <c r="J73" s="4">
        <v>0</v>
      </c>
      <c r="K73" s="4">
        <v>0</v>
      </c>
      <c r="L73" s="4">
        <v>114.94499999999999</v>
      </c>
      <c r="M73" s="4">
        <v>114.94499999999999</v>
      </c>
      <c r="N73" s="4">
        <v>114.94499999999999</v>
      </c>
      <c r="O73" s="4">
        <v>114.94499999999999</v>
      </c>
      <c r="P73" s="4">
        <v>0</v>
      </c>
      <c r="Q73" s="3" t="s">
        <v>26</v>
      </c>
      <c r="R73" s="3">
        <v>0</v>
      </c>
      <c r="S73" s="4">
        <v>0</v>
      </c>
      <c r="T73" s="4">
        <v>7</v>
      </c>
      <c r="U73" s="4">
        <v>50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1568.04</v>
      </c>
      <c r="X73" s="4">
        <f>IF(ISERROR(VLOOKUP($U$73,'TAR FIN'!$A$1:$O$88,15,0)),0,VLOOKUP($U$73,'TAR FIN'!$A$1:$O$88,15,0))</f>
        <v>242.35</v>
      </c>
      <c r="Y73" s="4"/>
      <c r="Z73" s="4">
        <f ca="1">('TUSD BE'!$AM$11+'TUSD BF'!$AM$11+'TUSD CVA'!$AM$11)*1</f>
        <v>2263.994888127495</v>
      </c>
      <c r="AA73" s="4">
        <f>('TE BE'!$AB$5+'TE BF'!$AB$5+'TE CVA'!$AB$5)*1</f>
        <v>191.00751406315655</v>
      </c>
      <c r="AB73" s="4">
        <f>$K$73*$V$73</f>
        <v>0</v>
      </c>
      <c r="AC73" s="4">
        <f>$M$73*$W$73</f>
        <v>180238.3578</v>
      </c>
      <c r="AD73" s="4">
        <f>$O$73*$X$73</f>
        <v>27856.920749999997</v>
      </c>
      <c r="AE73" s="4">
        <f>$K$73*$Y$73</f>
        <v>0</v>
      </c>
      <c r="AF73" s="4">
        <f ca="1">$M$73*$Z$73</f>
        <v>260234.89241581489</v>
      </c>
      <c r="AG73" s="4">
        <f>$O$73*$AA$73</f>
        <v>21955.358703989528</v>
      </c>
    </row>
    <row r="74" spans="1:33" ht="11.25" customHeight="1" x14ac:dyDescent="0.3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24</v>
      </c>
      <c r="F74" s="3" t="s">
        <v>25</v>
      </c>
      <c r="G74" s="3" t="s">
        <v>25</v>
      </c>
      <c r="H74" s="3" t="s">
        <v>25</v>
      </c>
      <c r="I74" s="6">
        <v>44440</v>
      </c>
      <c r="J74" s="4">
        <v>0</v>
      </c>
      <c r="K74" s="4">
        <v>0</v>
      </c>
      <c r="L74" s="4">
        <v>439.92200000000003</v>
      </c>
      <c r="M74" s="4">
        <v>439.92200000000003</v>
      </c>
      <c r="N74" s="4">
        <v>439.92200000000003</v>
      </c>
      <c r="O74" s="4">
        <v>439.92200000000003</v>
      </c>
      <c r="P74" s="4">
        <v>2828</v>
      </c>
      <c r="Q74" s="3" t="s">
        <v>26</v>
      </c>
      <c r="R74" s="3">
        <v>0</v>
      </c>
      <c r="S74" s="4">
        <v>0</v>
      </c>
      <c r="T74" s="4">
        <v>18</v>
      </c>
      <c r="U74" s="4">
        <v>56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306.19</v>
      </c>
      <c r="X74" s="4">
        <f>IF(ISERROR(VLOOKUP($U$74,'TAR FIN'!$A$1:$O$88,15,0)),0,VLOOKUP($U$74,'TAR FIN'!$A$1:$O$88,15,0))</f>
        <v>242.35</v>
      </c>
      <c r="Y74" s="4"/>
      <c r="Z74" s="4">
        <f ca="1">('TUSD BE'!$AM$20+'TUSD BF'!$AM$20+'TUSD CVA'!$AM$20)*1</f>
        <v>448.02163143730991</v>
      </c>
      <c r="AA74" s="4">
        <f>('TE BE'!$AB$10+'TE BF'!$AB$10+'TE CVA'!$AB$10)*1</f>
        <v>191.00751406315655</v>
      </c>
      <c r="AB74" s="4">
        <f>$K$74*$V$74</f>
        <v>0</v>
      </c>
      <c r="AC74" s="4">
        <f>$M$74*$W$74</f>
        <v>134699.71718000001</v>
      </c>
      <c r="AD74" s="4">
        <f>$O$74*$X$74</f>
        <v>106615.09670000001</v>
      </c>
      <c r="AE74" s="4">
        <f>$K$74*$Y$74</f>
        <v>0</v>
      </c>
      <c r="AF74" s="4">
        <f ca="1">$M$74*$Z$74</f>
        <v>197094.57214516425</v>
      </c>
      <c r="AG74" s="4">
        <f>$O$74*$AA$74</f>
        <v>84028.407601691957</v>
      </c>
    </row>
    <row r="75" spans="1:33" ht="11.25" customHeight="1" x14ac:dyDescent="0.3">
      <c r="A75" s="3" t="s">
        <v>27</v>
      </c>
      <c r="B75" s="3" t="s">
        <v>22</v>
      </c>
      <c r="C75" s="3" t="s">
        <v>23</v>
      </c>
      <c r="D75" s="3" t="s">
        <v>24</v>
      </c>
      <c r="E75" s="3" t="s">
        <v>24</v>
      </c>
      <c r="F75" s="3" t="s">
        <v>25</v>
      </c>
      <c r="G75" s="3" t="s">
        <v>25</v>
      </c>
      <c r="H75" s="3" t="s">
        <v>25</v>
      </c>
      <c r="I75" s="6">
        <v>44440</v>
      </c>
      <c r="J75" s="4">
        <v>0</v>
      </c>
      <c r="K75" s="4">
        <v>0</v>
      </c>
      <c r="L75" s="4">
        <v>-0.05</v>
      </c>
      <c r="M75" s="4">
        <v>-0.05</v>
      </c>
      <c r="N75" s="4">
        <v>-0.05</v>
      </c>
      <c r="O75" s="4">
        <v>-0.05</v>
      </c>
      <c r="P75" s="4">
        <v>0</v>
      </c>
      <c r="Q75" s="3" t="s">
        <v>26</v>
      </c>
      <c r="R75" s="3">
        <v>0</v>
      </c>
      <c r="S75" s="4">
        <v>0</v>
      </c>
      <c r="T75" s="4">
        <v>18</v>
      </c>
      <c r="U75" s="4">
        <v>56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306.19</v>
      </c>
      <c r="X75" s="4">
        <f>IF(ISERROR(VLOOKUP($U$75,'TAR FIN'!$A$1:$O$88,15,0)),0,VLOOKUP($U$75,'TAR FIN'!$A$1:$O$88,15,0))</f>
        <v>242.35</v>
      </c>
      <c r="Y75" s="4"/>
      <c r="Z75" s="4">
        <f ca="1">('TUSD BE'!$AM$20+'TUSD BF'!$AM$20+'TUSD CVA'!$AM$20)*1</f>
        <v>448.02163143730991</v>
      </c>
      <c r="AA75" s="4">
        <f>('TE BE'!$AB$10+'TE BF'!$AB$10+'TE CVA'!$AB$10)*1</f>
        <v>191.00751406315655</v>
      </c>
      <c r="AB75" s="4">
        <f>$K$75*$V$75</f>
        <v>0</v>
      </c>
      <c r="AC75" s="4">
        <f>$M$75*$W$75</f>
        <v>-15.3095</v>
      </c>
      <c r="AD75" s="4">
        <f>$O$75*$X$75</f>
        <v>-12.1175</v>
      </c>
      <c r="AE75" s="4">
        <f>$K$75*$Y$75</f>
        <v>0</v>
      </c>
      <c r="AF75" s="4">
        <f ca="1">$M$75*$Z$75</f>
        <v>-22.401081571865497</v>
      </c>
      <c r="AG75" s="4">
        <f>$O$75*$AA$75</f>
        <v>-9.5503757031578278</v>
      </c>
    </row>
    <row r="76" spans="1:33" ht="11.25" customHeight="1" x14ac:dyDescent="0.3">
      <c r="A76" s="3" t="s">
        <v>28</v>
      </c>
      <c r="B76" s="3" t="s">
        <v>22</v>
      </c>
      <c r="C76" s="3" t="s">
        <v>23</v>
      </c>
      <c r="D76" s="3" t="s">
        <v>24</v>
      </c>
      <c r="E76" s="3" t="s">
        <v>24</v>
      </c>
      <c r="F76" s="3" t="s">
        <v>25</v>
      </c>
      <c r="G76" s="3" t="s">
        <v>25</v>
      </c>
      <c r="H76" s="3" t="s">
        <v>25</v>
      </c>
      <c r="I76" s="6">
        <v>44440</v>
      </c>
      <c r="J76" s="4">
        <v>0</v>
      </c>
      <c r="K76" s="4">
        <v>0</v>
      </c>
      <c r="L76" s="4">
        <v>1.4510000000000001</v>
      </c>
      <c r="M76" s="4">
        <v>1.4510000000000001</v>
      </c>
      <c r="N76" s="4">
        <v>1.4510000000000001</v>
      </c>
      <c r="O76" s="4">
        <v>1.4510000000000001</v>
      </c>
      <c r="P76" s="4">
        <v>15</v>
      </c>
      <c r="Q76" s="3" t="s">
        <v>26</v>
      </c>
      <c r="R76" s="3">
        <v>0</v>
      </c>
      <c r="S76" s="4">
        <v>0</v>
      </c>
      <c r="T76" s="4">
        <v>18</v>
      </c>
      <c r="U76" s="4">
        <v>56</v>
      </c>
      <c r="V76" s="4">
        <f>IF(ISERROR(VLOOKUP($S$76,'TAR FIN'!$A$1:$O$88,15,0)),0,VLOOKUP($S$76,'TAR FIN'!$A$1:$O$88,15,0))</f>
        <v>0</v>
      </c>
      <c r="W76" s="4">
        <f>IF(ISERROR(VLOOKUP($T$76,'TAR FIN'!$A$1:$O$88,15,0)),0,VLOOKUP($T$76,'TAR FIN'!$A$1:$O$88,15,0))</f>
        <v>306.19</v>
      </c>
      <c r="X76" s="4">
        <f>IF(ISERROR(VLOOKUP($U$76,'TAR FIN'!$A$1:$O$88,15,0)),0,VLOOKUP($U$76,'TAR FIN'!$A$1:$O$88,15,0))</f>
        <v>242.35</v>
      </c>
      <c r="Y76" s="4"/>
      <c r="Z76" s="4">
        <f ca="1">('TUSD BE'!$AM$20+'TUSD BF'!$AM$20+'TUSD CVA'!$AM$20)*1</f>
        <v>448.02163143730991</v>
      </c>
      <c r="AA76" s="4">
        <f>('TE BE'!$AB$10+'TE BF'!$AB$10+'TE CVA'!$AB$10)*1</f>
        <v>191.00751406315655</v>
      </c>
      <c r="AB76" s="4">
        <f>$K$76*$V$76</f>
        <v>0</v>
      </c>
      <c r="AC76" s="4">
        <f>$M$76*$W$76</f>
        <v>444.28169000000003</v>
      </c>
      <c r="AD76" s="4">
        <f>$O$76*$X$76</f>
        <v>351.64985000000001</v>
      </c>
      <c r="AE76" s="4">
        <f>$K$76*$Y$76</f>
        <v>0</v>
      </c>
      <c r="AF76" s="4">
        <f ca="1">$M$76*$Z$76</f>
        <v>650.07938721553671</v>
      </c>
      <c r="AG76" s="4">
        <f>$O$76*$AA$76</f>
        <v>277.15190290564016</v>
      </c>
    </row>
    <row r="77" spans="1:33" ht="11.25" customHeight="1" x14ac:dyDescent="0.3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24</v>
      </c>
      <c r="F77" s="3" t="s">
        <v>25</v>
      </c>
      <c r="G77" s="3" t="s">
        <v>25</v>
      </c>
      <c r="H77" s="3" t="s">
        <v>25</v>
      </c>
      <c r="I77" s="6">
        <v>44470</v>
      </c>
      <c r="J77" s="4">
        <v>0</v>
      </c>
      <c r="K77" s="4">
        <v>0</v>
      </c>
      <c r="L77" s="4">
        <v>455.92</v>
      </c>
      <c r="M77" s="4">
        <v>455.92</v>
      </c>
      <c r="N77" s="4">
        <v>455.92</v>
      </c>
      <c r="O77" s="4">
        <v>455.92</v>
      </c>
      <c r="P77" s="4">
        <v>2831</v>
      </c>
      <c r="Q77" s="3" t="s">
        <v>26</v>
      </c>
      <c r="R77" s="3">
        <v>0</v>
      </c>
      <c r="S77" s="4">
        <v>0</v>
      </c>
      <c r="T77" s="4">
        <v>18</v>
      </c>
      <c r="U77" s="4">
        <v>56</v>
      </c>
      <c r="V77" s="4">
        <f>IF(ISERROR(VLOOKUP($S$77,'TAR FIN'!$A$1:$O$88,15,0)),0,VLOOKUP($S$77,'TAR FIN'!$A$1:$O$88,15,0))</f>
        <v>0</v>
      </c>
      <c r="W77" s="4">
        <f>IF(ISERROR(VLOOKUP($T$77,'TAR FIN'!$A$1:$O$88,15,0)),0,VLOOKUP($T$77,'TAR FIN'!$A$1:$O$88,15,0))</f>
        <v>306.19</v>
      </c>
      <c r="X77" s="4">
        <f>IF(ISERROR(VLOOKUP($U$77,'TAR FIN'!$A$1:$O$88,15,0)),0,VLOOKUP($U$77,'TAR FIN'!$A$1:$O$88,15,0))</f>
        <v>242.35</v>
      </c>
      <c r="Y77" s="4"/>
      <c r="Z77" s="4">
        <f ca="1">('TUSD BE'!$AM$20+'TUSD BF'!$AM$20+'TUSD CVA'!$AM$20)*1</f>
        <v>448.02163143730991</v>
      </c>
      <c r="AA77" s="4">
        <f>('TE BE'!$AB$10+'TE BF'!$AB$10+'TE CVA'!$AB$10)*1</f>
        <v>191.00751406315655</v>
      </c>
      <c r="AB77" s="4">
        <f>$K$77*$V$77</f>
        <v>0</v>
      </c>
      <c r="AC77" s="4">
        <f>$M$77*$W$77</f>
        <v>139598.14480000001</v>
      </c>
      <c r="AD77" s="4">
        <f>$O$77*$X$77</f>
        <v>110492.212</v>
      </c>
      <c r="AE77" s="4">
        <f>$K$77*$Y$77</f>
        <v>0</v>
      </c>
      <c r="AF77" s="4">
        <f ca="1">$M$77*$Z$77</f>
        <v>204262.02220489833</v>
      </c>
      <c r="AG77" s="4">
        <f>$O$77*$AA$77</f>
        <v>87084.145811674331</v>
      </c>
    </row>
    <row r="78" spans="1:33" ht="11.25" customHeight="1" x14ac:dyDescent="0.3">
      <c r="A78" s="3" t="s">
        <v>27</v>
      </c>
      <c r="B78" s="3" t="s">
        <v>22</v>
      </c>
      <c r="C78" s="3" t="s">
        <v>23</v>
      </c>
      <c r="D78" s="3" t="s">
        <v>24</v>
      </c>
      <c r="E78" s="3" t="s">
        <v>24</v>
      </c>
      <c r="F78" s="3" t="s">
        <v>25</v>
      </c>
      <c r="G78" s="3" t="s">
        <v>25</v>
      </c>
      <c r="H78" s="3" t="s">
        <v>25</v>
      </c>
      <c r="I78" s="6">
        <v>44470</v>
      </c>
      <c r="J78" s="4">
        <v>0</v>
      </c>
      <c r="K78" s="4">
        <v>0</v>
      </c>
      <c r="L78" s="4">
        <v>-1.002</v>
      </c>
      <c r="M78" s="4">
        <v>-1.002</v>
      </c>
      <c r="N78" s="4">
        <v>-1.002</v>
      </c>
      <c r="O78" s="4">
        <v>-1.002</v>
      </c>
      <c r="P78" s="4">
        <v>0</v>
      </c>
      <c r="Q78" s="3" t="s">
        <v>26</v>
      </c>
      <c r="R78" s="3">
        <v>0</v>
      </c>
      <c r="S78" s="4">
        <v>0</v>
      </c>
      <c r="T78" s="4">
        <v>18</v>
      </c>
      <c r="U78" s="4">
        <v>56</v>
      </c>
      <c r="V78" s="4">
        <f>IF(ISERROR(VLOOKUP($S$78,'TAR FIN'!$A$1:$O$88,15,0)),0,VLOOKUP($S$78,'TAR FIN'!$A$1:$O$88,15,0))</f>
        <v>0</v>
      </c>
      <c r="W78" s="4">
        <f>IF(ISERROR(VLOOKUP($T$78,'TAR FIN'!$A$1:$O$88,15,0)),0,VLOOKUP($T$78,'TAR FIN'!$A$1:$O$88,15,0))</f>
        <v>306.19</v>
      </c>
      <c r="X78" s="4">
        <f>IF(ISERROR(VLOOKUP($U$78,'TAR FIN'!$A$1:$O$88,15,0)),0,VLOOKUP($U$78,'TAR FIN'!$A$1:$O$88,15,0))</f>
        <v>242.35</v>
      </c>
      <c r="Y78" s="4"/>
      <c r="Z78" s="4">
        <f ca="1">('TUSD BE'!$AM$20+'TUSD BF'!$AM$20+'TUSD CVA'!$AM$20)*1</f>
        <v>448.02163143730991</v>
      </c>
      <c r="AA78" s="4">
        <f>('TE BE'!$AB$10+'TE BF'!$AB$10+'TE CVA'!$AB$10)*1</f>
        <v>191.00751406315655</v>
      </c>
      <c r="AB78" s="4">
        <f>$K$78*$V$78</f>
        <v>0</v>
      </c>
      <c r="AC78" s="4">
        <f>$M$78*$W$78</f>
        <v>-306.80237999999997</v>
      </c>
      <c r="AD78" s="4">
        <f>$O$78*$X$78</f>
        <v>-242.8347</v>
      </c>
      <c r="AE78" s="4">
        <f>$K$78*$Y$78</f>
        <v>0</v>
      </c>
      <c r="AF78" s="4">
        <f ca="1">$M$78*$Z$78</f>
        <v>-448.91767470018453</v>
      </c>
      <c r="AG78" s="4">
        <f>$O$78*$AA$78</f>
        <v>-191.38952909128287</v>
      </c>
    </row>
    <row r="79" spans="1:33" ht="11.25" customHeight="1" x14ac:dyDescent="0.3">
      <c r="A79" s="3" t="s">
        <v>28</v>
      </c>
      <c r="B79" s="3" t="s">
        <v>22</v>
      </c>
      <c r="C79" s="3" t="s">
        <v>23</v>
      </c>
      <c r="D79" s="3" t="s">
        <v>24</v>
      </c>
      <c r="E79" s="3" t="s">
        <v>24</v>
      </c>
      <c r="F79" s="3" t="s">
        <v>25</v>
      </c>
      <c r="G79" s="3" t="s">
        <v>25</v>
      </c>
      <c r="H79" s="3" t="s">
        <v>25</v>
      </c>
      <c r="I79" s="6">
        <v>44470</v>
      </c>
      <c r="J79" s="4">
        <v>0</v>
      </c>
      <c r="K79" s="4">
        <v>0</v>
      </c>
      <c r="L79" s="4">
        <v>1.962</v>
      </c>
      <c r="M79" s="4">
        <v>1.962</v>
      </c>
      <c r="N79" s="4">
        <v>1.962</v>
      </c>
      <c r="O79" s="4">
        <v>1.962</v>
      </c>
      <c r="P79" s="4">
        <v>16</v>
      </c>
      <c r="Q79" s="3" t="s">
        <v>26</v>
      </c>
      <c r="R79" s="3">
        <v>0</v>
      </c>
      <c r="S79" s="4">
        <v>0</v>
      </c>
      <c r="T79" s="4">
        <v>18</v>
      </c>
      <c r="U79" s="4">
        <v>56</v>
      </c>
      <c r="V79" s="4">
        <f>IF(ISERROR(VLOOKUP($S$79,'TAR FIN'!$A$1:$O$88,15,0)),0,VLOOKUP($S$79,'TAR FIN'!$A$1:$O$88,15,0))</f>
        <v>0</v>
      </c>
      <c r="W79" s="4">
        <f>IF(ISERROR(VLOOKUP($T$79,'TAR FIN'!$A$1:$O$88,15,0)),0,VLOOKUP($T$79,'TAR FIN'!$A$1:$O$88,15,0))</f>
        <v>306.19</v>
      </c>
      <c r="X79" s="4">
        <f>IF(ISERROR(VLOOKUP($U$79,'TAR FIN'!$A$1:$O$88,15,0)),0,VLOOKUP($U$79,'TAR FIN'!$A$1:$O$88,15,0))</f>
        <v>242.35</v>
      </c>
      <c r="Y79" s="4"/>
      <c r="Z79" s="4">
        <f ca="1">('TUSD BE'!$AM$20+'TUSD BF'!$AM$20+'TUSD CVA'!$AM$20)*1</f>
        <v>448.02163143730991</v>
      </c>
      <c r="AA79" s="4">
        <f>('TE BE'!$AB$10+'TE BF'!$AB$10+'TE CVA'!$AB$10)*1</f>
        <v>191.00751406315655</v>
      </c>
      <c r="AB79" s="4">
        <f>$K$79*$V$79</f>
        <v>0</v>
      </c>
      <c r="AC79" s="4">
        <f>$M$79*$W$79</f>
        <v>600.74477999999999</v>
      </c>
      <c r="AD79" s="4">
        <f>$O$79*$X$79</f>
        <v>475.4907</v>
      </c>
      <c r="AE79" s="4">
        <f>$K$79*$Y$79</f>
        <v>0</v>
      </c>
      <c r="AF79" s="4">
        <f ca="1">$M$79*$Z$79</f>
        <v>879.018440880002</v>
      </c>
      <c r="AG79" s="4">
        <f>$O$79*$AA$79</f>
        <v>374.75674259191317</v>
      </c>
    </row>
    <row r="80" spans="1:33" ht="11.25" customHeight="1" x14ac:dyDescent="0.3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24</v>
      </c>
      <c r="F80" s="3" t="s">
        <v>25</v>
      </c>
      <c r="G80" s="3" t="s">
        <v>25</v>
      </c>
      <c r="H80" s="3" t="s">
        <v>25</v>
      </c>
      <c r="I80" s="6">
        <v>44501</v>
      </c>
      <c r="J80" s="4">
        <v>0</v>
      </c>
      <c r="K80" s="4">
        <v>0</v>
      </c>
      <c r="L80" s="4">
        <v>467.74700000000001</v>
      </c>
      <c r="M80" s="4">
        <v>467.74700000000001</v>
      </c>
      <c r="N80" s="4">
        <v>467.74700000000001</v>
      </c>
      <c r="O80" s="4">
        <v>467.74700000000001</v>
      </c>
      <c r="P80" s="4">
        <v>2835</v>
      </c>
      <c r="Q80" s="3" t="s">
        <v>26</v>
      </c>
      <c r="R80" s="3">
        <v>0</v>
      </c>
      <c r="S80" s="4">
        <v>0</v>
      </c>
      <c r="T80" s="4">
        <v>18</v>
      </c>
      <c r="U80" s="4">
        <v>56</v>
      </c>
      <c r="V80" s="4">
        <f>IF(ISERROR(VLOOKUP($S$80,'TAR FIN'!$A$1:$O$88,15,0)),0,VLOOKUP($S$80,'TAR FIN'!$A$1:$O$88,15,0))</f>
        <v>0</v>
      </c>
      <c r="W80" s="4">
        <f>IF(ISERROR(VLOOKUP($T$80,'TAR FIN'!$A$1:$O$88,15,0)),0,VLOOKUP($T$80,'TAR FIN'!$A$1:$O$88,15,0))</f>
        <v>306.19</v>
      </c>
      <c r="X80" s="4">
        <f>IF(ISERROR(VLOOKUP($U$80,'TAR FIN'!$A$1:$O$88,15,0)),0,VLOOKUP($U$80,'TAR FIN'!$A$1:$O$88,15,0))</f>
        <v>242.35</v>
      </c>
      <c r="Y80" s="4"/>
      <c r="Z80" s="4">
        <f ca="1">('TUSD BE'!$AM$20+'TUSD BF'!$AM$20+'TUSD CVA'!$AM$20)*1</f>
        <v>448.02163143730991</v>
      </c>
      <c r="AA80" s="4">
        <f>('TE BE'!$AB$10+'TE BF'!$AB$10+'TE CVA'!$AB$10)*1</f>
        <v>191.00751406315655</v>
      </c>
      <c r="AB80" s="4">
        <f>$K$80*$V$80</f>
        <v>0</v>
      </c>
      <c r="AC80" s="4">
        <f>$M$80*$W$80</f>
        <v>143219.45392999999</v>
      </c>
      <c r="AD80" s="4">
        <f>$O$80*$X$80</f>
        <v>113358.48545000001</v>
      </c>
      <c r="AE80" s="4">
        <f>$K$80*$Y$80</f>
        <v>0</v>
      </c>
      <c r="AF80" s="4">
        <f ca="1">$M$80*$Z$80</f>
        <v>209560.77403990741</v>
      </c>
      <c r="AG80" s="4">
        <f>$O$80*$AA$80</f>
        <v>89343.191680499294</v>
      </c>
    </row>
    <row r="81" spans="1:33" ht="11.25" customHeight="1" x14ac:dyDescent="0.3">
      <c r="A81" s="3" t="s">
        <v>27</v>
      </c>
      <c r="B81" s="3" t="s">
        <v>22</v>
      </c>
      <c r="C81" s="3" t="s">
        <v>23</v>
      </c>
      <c r="D81" s="3" t="s">
        <v>24</v>
      </c>
      <c r="E81" s="3" t="s">
        <v>24</v>
      </c>
      <c r="F81" s="3" t="s">
        <v>25</v>
      </c>
      <c r="G81" s="3" t="s">
        <v>25</v>
      </c>
      <c r="H81" s="3" t="s">
        <v>25</v>
      </c>
      <c r="I81" s="6">
        <v>44501</v>
      </c>
      <c r="J81" s="4">
        <v>0</v>
      </c>
      <c r="K81" s="4">
        <v>0</v>
      </c>
      <c r="L81" s="4">
        <v>-0.03</v>
      </c>
      <c r="M81" s="4">
        <v>-0.03</v>
      </c>
      <c r="N81" s="4">
        <v>-0.03</v>
      </c>
      <c r="O81" s="4">
        <v>-0.03</v>
      </c>
      <c r="P81" s="4">
        <v>0</v>
      </c>
      <c r="Q81" s="3" t="s">
        <v>26</v>
      </c>
      <c r="R81" s="3">
        <v>0</v>
      </c>
      <c r="S81" s="4">
        <v>0</v>
      </c>
      <c r="T81" s="4">
        <v>18</v>
      </c>
      <c r="U81" s="4">
        <v>56</v>
      </c>
      <c r="V81" s="4">
        <f>IF(ISERROR(VLOOKUP($S$81,'TAR FIN'!$A$1:$O$88,15,0)),0,VLOOKUP($S$81,'TAR FIN'!$A$1:$O$88,15,0))</f>
        <v>0</v>
      </c>
      <c r="W81" s="4">
        <f>IF(ISERROR(VLOOKUP($T$81,'TAR FIN'!$A$1:$O$88,15,0)),0,VLOOKUP($T$81,'TAR FIN'!$A$1:$O$88,15,0))</f>
        <v>306.19</v>
      </c>
      <c r="X81" s="4">
        <f>IF(ISERROR(VLOOKUP($U$81,'TAR FIN'!$A$1:$O$88,15,0)),0,VLOOKUP($U$81,'TAR FIN'!$A$1:$O$88,15,0))</f>
        <v>242.35</v>
      </c>
      <c r="Y81" s="4"/>
      <c r="Z81" s="4">
        <f ca="1">('TUSD BE'!$AM$20+'TUSD BF'!$AM$20+'TUSD CVA'!$AM$20)*1</f>
        <v>448.02163143730991</v>
      </c>
      <c r="AA81" s="4">
        <f>('TE BE'!$AB$10+'TE BF'!$AB$10+'TE CVA'!$AB$10)*1</f>
        <v>191.00751406315655</v>
      </c>
      <c r="AB81" s="4">
        <f>$K$81*$V$81</f>
        <v>0</v>
      </c>
      <c r="AC81" s="4">
        <f>$M$81*$W$81</f>
        <v>-9.1856999999999989</v>
      </c>
      <c r="AD81" s="4">
        <f>$O$81*$X$81</f>
        <v>-7.2704999999999993</v>
      </c>
      <c r="AE81" s="4">
        <f>$K$81*$Y$81</f>
        <v>0</v>
      </c>
      <c r="AF81" s="4">
        <f ca="1">$M$81*$Z$81</f>
        <v>-13.440648943119296</v>
      </c>
      <c r="AG81" s="4">
        <f>$O$81*$AA$81</f>
        <v>-5.730225421894696</v>
      </c>
    </row>
    <row r="82" spans="1:33" ht="11.25" customHeight="1" x14ac:dyDescent="0.3">
      <c r="A82" s="3" t="s">
        <v>28</v>
      </c>
      <c r="B82" s="3" t="s">
        <v>22</v>
      </c>
      <c r="C82" s="3" t="s">
        <v>23</v>
      </c>
      <c r="D82" s="3" t="s">
        <v>24</v>
      </c>
      <c r="E82" s="3" t="s">
        <v>24</v>
      </c>
      <c r="F82" s="3" t="s">
        <v>25</v>
      </c>
      <c r="G82" s="3" t="s">
        <v>25</v>
      </c>
      <c r="H82" s="3" t="s">
        <v>25</v>
      </c>
      <c r="I82" s="6">
        <v>44501</v>
      </c>
      <c r="J82" s="4">
        <v>0</v>
      </c>
      <c r="K82" s="4">
        <v>0</v>
      </c>
      <c r="L82" s="4">
        <v>2.274</v>
      </c>
      <c r="M82" s="4">
        <v>2.274</v>
      </c>
      <c r="N82" s="4">
        <v>2.274</v>
      </c>
      <c r="O82" s="4">
        <v>2.274</v>
      </c>
      <c r="P82" s="4">
        <v>18</v>
      </c>
      <c r="Q82" s="3" t="s">
        <v>26</v>
      </c>
      <c r="R82" s="3">
        <v>0</v>
      </c>
      <c r="S82" s="4">
        <v>0</v>
      </c>
      <c r="T82" s="4">
        <v>18</v>
      </c>
      <c r="U82" s="4">
        <v>56</v>
      </c>
      <c r="V82" s="4">
        <f>IF(ISERROR(VLOOKUP($S$82,'TAR FIN'!$A$1:$O$88,15,0)),0,VLOOKUP($S$82,'TAR FIN'!$A$1:$O$88,15,0))</f>
        <v>0</v>
      </c>
      <c r="W82" s="4">
        <f>IF(ISERROR(VLOOKUP($T$82,'TAR FIN'!$A$1:$O$88,15,0)),0,VLOOKUP($T$82,'TAR FIN'!$A$1:$O$88,15,0))</f>
        <v>306.19</v>
      </c>
      <c r="X82" s="4">
        <f>IF(ISERROR(VLOOKUP($U$82,'TAR FIN'!$A$1:$O$88,15,0)),0,VLOOKUP($U$82,'TAR FIN'!$A$1:$O$88,15,0))</f>
        <v>242.35</v>
      </c>
      <c r="Y82" s="4"/>
      <c r="Z82" s="4">
        <f ca="1">('TUSD BE'!$AM$20+'TUSD BF'!$AM$20+'TUSD CVA'!$AM$20)*1</f>
        <v>448.02163143730991</v>
      </c>
      <c r="AA82" s="4">
        <f>('TE BE'!$AB$10+'TE BF'!$AB$10+'TE CVA'!$AB$10)*1</f>
        <v>191.00751406315655</v>
      </c>
      <c r="AB82" s="4">
        <f>$K$82*$V$82</f>
        <v>0</v>
      </c>
      <c r="AC82" s="4">
        <f>$M$82*$W$82</f>
        <v>696.27606000000003</v>
      </c>
      <c r="AD82" s="4">
        <f>$O$82*$X$82</f>
        <v>551.10389999999995</v>
      </c>
      <c r="AE82" s="4">
        <f>$K$82*$Y$82</f>
        <v>0</v>
      </c>
      <c r="AF82" s="4">
        <f ca="1">$M$82*$Z$82</f>
        <v>1018.8011898884428</v>
      </c>
      <c r="AG82" s="4">
        <f>$O$82*$AA$82</f>
        <v>434.351086979618</v>
      </c>
    </row>
    <row r="83" spans="1:33" ht="11.25" customHeight="1" x14ac:dyDescent="0.3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24</v>
      </c>
      <c r="F83" s="3" t="s">
        <v>25</v>
      </c>
      <c r="G83" s="3" t="s">
        <v>25</v>
      </c>
      <c r="H83" s="3" t="s">
        <v>25</v>
      </c>
      <c r="I83" s="6">
        <v>44531</v>
      </c>
      <c r="J83" s="4">
        <v>0</v>
      </c>
      <c r="K83" s="4">
        <v>0</v>
      </c>
      <c r="L83" s="4">
        <v>469.399</v>
      </c>
      <c r="M83" s="4">
        <v>469.399</v>
      </c>
      <c r="N83" s="4">
        <v>469.399</v>
      </c>
      <c r="O83" s="4">
        <v>469.399</v>
      </c>
      <c r="P83" s="4">
        <v>2841</v>
      </c>
      <c r="Q83" s="3" t="s">
        <v>26</v>
      </c>
      <c r="R83" s="3">
        <v>0</v>
      </c>
      <c r="S83" s="4">
        <v>0</v>
      </c>
      <c r="T83" s="4">
        <v>18</v>
      </c>
      <c r="U83" s="4">
        <v>56</v>
      </c>
      <c r="V83" s="4">
        <f>IF(ISERROR(VLOOKUP($S$83,'TAR FIN'!$A$1:$O$88,15,0)),0,VLOOKUP($S$83,'TAR FIN'!$A$1:$O$88,15,0))</f>
        <v>0</v>
      </c>
      <c r="W83" s="4">
        <f>IF(ISERROR(VLOOKUP($T$83,'TAR FIN'!$A$1:$O$88,15,0)),0,VLOOKUP($T$83,'TAR FIN'!$A$1:$O$88,15,0))</f>
        <v>306.19</v>
      </c>
      <c r="X83" s="4">
        <f>IF(ISERROR(VLOOKUP($U$83,'TAR FIN'!$A$1:$O$88,15,0)),0,VLOOKUP($U$83,'TAR FIN'!$A$1:$O$88,15,0))</f>
        <v>242.35</v>
      </c>
      <c r="Y83" s="4"/>
      <c r="Z83" s="4">
        <f ca="1">('TUSD BE'!$AM$20+'TUSD BF'!$AM$20+'TUSD CVA'!$AM$20)*1</f>
        <v>448.02163143730991</v>
      </c>
      <c r="AA83" s="4">
        <f>('TE BE'!$AB$10+'TE BF'!$AB$10+'TE CVA'!$AB$10)*1</f>
        <v>191.00751406315655</v>
      </c>
      <c r="AB83" s="4">
        <f>$K$83*$V$83</f>
        <v>0</v>
      </c>
      <c r="AC83" s="4">
        <f>$M$83*$W$83</f>
        <v>143725.27981000001</v>
      </c>
      <c r="AD83" s="4">
        <f>$O$83*$X$83</f>
        <v>113758.84765</v>
      </c>
      <c r="AE83" s="4">
        <f>$K$83*$Y$83</f>
        <v>0</v>
      </c>
      <c r="AF83" s="4">
        <f ca="1">$M$83*$Z$83</f>
        <v>210300.90577504184</v>
      </c>
      <c r="AG83" s="4">
        <f>$O$83*$AA$83</f>
        <v>89658.736093731626</v>
      </c>
    </row>
    <row r="84" spans="1:33" ht="11.25" customHeight="1" x14ac:dyDescent="0.3">
      <c r="A84" s="3" t="s">
        <v>27</v>
      </c>
      <c r="B84" s="3" t="s">
        <v>22</v>
      </c>
      <c r="C84" s="3" t="s">
        <v>23</v>
      </c>
      <c r="D84" s="3" t="s">
        <v>24</v>
      </c>
      <c r="E84" s="3" t="s">
        <v>24</v>
      </c>
      <c r="F84" s="3" t="s">
        <v>25</v>
      </c>
      <c r="G84" s="3" t="s">
        <v>25</v>
      </c>
      <c r="H84" s="3" t="s">
        <v>25</v>
      </c>
      <c r="I84" s="6">
        <v>44531</v>
      </c>
      <c r="J84" s="4">
        <v>0</v>
      </c>
      <c r="K84" s="4">
        <v>0</v>
      </c>
      <c r="L84" s="4">
        <v>-0.377</v>
      </c>
      <c r="M84" s="4">
        <v>-0.377</v>
      </c>
      <c r="N84" s="4">
        <v>-0.377</v>
      </c>
      <c r="O84" s="4">
        <v>-0.377</v>
      </c>
      <c r="P84" s="4">
        <v>0</v>
      </c>
      <c r="Q84" s="3" t="s">
        <v>26</v>
      </c>
      <c r="R84" s="3">
        <v>0</v>
      </c>
      <c r="S84" s="4">
        <v>0</v>
      </c>
      <c r="T84" s="4">
        <v>18</v>
      </c>
      <c r="U84" s="4">
        <v>56</v>
      </c>
      <c r="V84" s="4">
        <f>IF(ISERROR(VLOOKUP($S$84,'TAR FIN'!$A$1:$O$88,15,0)),0,VLOOKUP($S$84,'TAR FIN'!$A$1:$O$88,15,0))</f>
        <v>0</v>
      </c>
      <c r="W84" s="4">
        <f>IF(ISERROR(VLOOKUP($T$84,'TAR FIN'!$A$1:$O$88,15,0)),0,VLOOKUP($T$84,'TAR FIN'!$A$1:$O$88,15,0))</f>
        <v>306.19</v>
      </c>
      <c r="X84" s="4">
        <f>IF(ISERROR(VLOOKUP($U$84,'TAR FIN'!$A$1:$O$88,15,0)),0,VLOOKUP($U$84,'TAR FIN'!$A$1:$O$88,15,0))</f>
        <v>242.35</v>
      </c>
      <c r="Y84" s="4"/>
      <c r="Z84" s="4">
        <f ca="1">('TUSD BE'!$AM$20+'TUSD BF'!$AM$20+'TUSD CVA'!$AM$20)*1</f>
        <v>448.02163143730991</v>
      </c>
      <c r="AA84" s="4">
        <f>('TE BE'!$AB$10+'TE BF'!$AB$10+'TE CVA'!$AB$10)*1</f>
        <v>191.00751406315655</v>
      </c>
      <c r="AB84" s="4">
        <f>$K$84*$V$84</f>
        <v>0</v>
      </c>
      <c r="AC84" s="4">
        <f>$M$84*$W$84</f>
        <v>-115.43362999999999</v>
      </c>
      <c r="AD84" s="4">
        <f>$O$84*$X$84</f>
        <v>-91.365949999999998</v>
      </c>
      <c r="AE84" s="4">
        <f>$K$84*$Y$84</f>
        <v>0</v>
      </c>
      <c r="AF84" s="4">
        <f ca="1">$M$84*$Z$84</f>
        <v>-168.90415505186584</v>
      </c>
      <c r="AG84" s="4">
        <f>$O$84*$AA$84</f>
        <v>-72.00983280181002</v>
      </c>
    </row>
    <row r="85" spans="1:33" ht="11.25" customHeight="1" x14ac:dyDescent="0.3">
      <c r="A85" s="3" t="s">
        <v>28</v>
      </c>
      <c r="B85" s="3" t="s">
        <v>22</v>
      </c>
      <c r="C85" s="3" t="s">
        <v>23</v>
      </c>
      <c r="D85" s="3" t="s">
        <v>24</v>
      </c>
      <c r="E85" s="3" t="s">
        <v>24</v>
      </c>
      <c r="F85" s="3" t="s">
        <v>25</v>
      </c>
      <c r="G85" s="3" t="s">
        <v>25</v>
      </c>
      <c r="H85" s="3" t="s">
        <v>25</v>
      </c>
      <c r="I85" s="6">
        <v>44531</v>
      </c>
      <c r="J85" s="4">
        <v>0</v>
      </c>
      <c r="K85" s="4">
        <v>0</v>
      </c>
      <c r="L85" s="4">
        <v>1.8580000000000001</v>
      </c>
      <c r="M85" s="4">
        <v>1.8580000000000001</v>
      </c>
      <c r="N85" s="4">
        <v>1.8580000000000001</v>
      </c>
      <c r="O85" s="4">
        <v>1.8580000000000001</v>
      </c>
      <c r="P85" s="4">
        <v>18</v>
      </c>
      <c r="Q85" s="3" t="s">
        <v>26</v>
      </c>
      <c r="R85" s="3">
        <v>0</v>
      </c>
      <c r="S85" s="4">
        <v>0</v>
      </c>
      <c r="T85" s="4">
        <v>18</v>
      </c>
      <c r="U85" s="4">
        <v>56</v>
      </c>
      <c r="V85" s="4">
        <f>IF(ISERROR(VLOOKUP($S$85,'TAR FIN'!$A$1:$O$88,15,0)),0,VLOOKUP($S$85,'TAR FIN'!$A$1:$O$88,15,0))</f>
        <v>0</v>
      </c>
      <c r="W85" s="4">
        <f>IF(ISERROR(VLOOKUP($T$85,'TAR FIN'!$A$1:$O$88,15,0)),0,VLOOKUP($T$85,'TAR FIN'!$A$1:$O$88,15,0))</f>
        <v>306.19</v>
      </c>
      <c r="X85" s="4">
        <f>IF(ISERROR(VLOOKUP($U$85,'TAR FIN'!$A$1:$O$88,15,0)),0,VLOOKUP($U$85,'TAR FIN'!$A$1:$O$88,15,0))</f>
        <v>242.35</v>
      </c>
      <c r="Y85" s="4"/>
      <c r="Z85" s="4">
        <f ca="1">('TUSD BE'!$AM$20+'TUSD BF'!$AM$20+'TUSD CVA'!$AM$20)*1</f>
        <v>448.02163143730991</v>
      </c>
      <c r="AA85" s="4">
        <f>('TE BE'!$AB$10+'TE BF'!$AB$10+'TE CVA'!$AB$10)*1</f>
        <v>191.00751406315655</v>
      </c>
      <c r="AB85" s="4">
        <f>$K$85*$V$85</f>
        <v>0</v>
      </c>
      <c r="AC85" s="4">
        <f>$M$85*$W$85</f>
        <v>568.90102000000002</v>
      </c>
      <c r="AD85" s="4">
        <f>$O$85*$X$85</f>
        <v>450.28630000000004</v>
      </c>
      <c r="AE85" s="4">
        <f>$K$85*$Y$85</f>
        <v>0</v>
      </c>
      <c r="AF85" s="4">
        <f ca="1">$M$85*$Z$85</f>
        <v>832.42419121052183</v>
      </c>
      <c r="AG85" s="4">
        <f>$O$85*$AA$85</f>
        <v>354.89196112934491</v>
      </c>
    </row>
    <row r="86" spans="1:33" ht="11.25" customHeight="1" x14ac:dyDescent="0.3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24</v>
      </c>
      <c r="F86" s="3" t="s">
        <v>25</v>
      </c>
      <c r="G86" s="3" t="s">
        <v>25</v>
      </c>
      <c r="H86" s="3" t="s">
        <v>25</v>
      </c>
      <c r="I86" s="6">
        <v>44562</v>
      </c>
      <c r="J86" s="4">
        <v>0</v>
      </c>
      <c r="K86" s="4">
        <v>0</v>
      </c>
      <c r="L86" s="4">
        <v>520.61</v>
      </c>
      <c r="M86" s="4">
        <v>520.61</v>
      </c>
      <c r="N86" s="4">
        <v>520.61</v>
      </c>
      <c r="O86" s="4">
        <v>520.61</v>
      </c>
      <c r="P86" s="4">
        <v>2846</v>
      </c>
      <c r="Q86" s="3" t="s">
        <v>26</v>
      </c>
      <c r="R86" s="3">
        <v>0</v>
      </c>
      <c r="S86" s="4">
        <v>0</v>
      </c>
      <c r="T86" s="4">
        <v>18</v>
      </c>
      <c r="U86" s="4">
        <v>56</v>
      </c>
      <c r="V86" s="4">
        <f>IF(ISERROR(VLOOKUP($S$86,'TAR FIN'!$A$1:$O$88,15,0)),0,VLOOKUP($S$86,'TAR FIN'!$A$1:$O$88,15,0))</f>
        <v>0</v>
      </c>
      <c r="W86" s="4">
        <f>IF(ISERROR(VLOOKUP($T$86,'TAR FIN'!$A$1:$O$88,15,0)),0,VLOOKUP($T$86,'TAR FIN'!$A$1:$O$88,15,0))</f>
        <v>306.19</v>
      </c>
      <c r="X86" s="4">
        <f>IF(ISERROR(VLOOKUP($U$86,'TAR FIN'!$A$1:$O$88,15,0)),0,VLOOKUP($U$86,'TAR FIN'!$A$1:$O$88,15,0))</f>
        <v>242.35</v>
      </c>
      <c r="Y86" s="4"/>
      <c r="Z86" s="4">
        <f ca="1">('TUSD BE'!$AM$20+'TUSD BF'!$AM$20+'TUSD CVA'!$AM$20)*1</f>
        <v>448.02163143730991</v>
      </c>
      <c r="AA86" s="4">
        <f>('TE BE'!$AB$10+'TE BF'!$AB$10+'TE CVA'!$AB$10)*1</f>
        <v>191.00751406315655</v>
      </c>
      <c r="AB86" s="4">
        <f>$K$86*$V$86</f>
        <v>0</v>
      </c>
      <c r="AC86" s="4">
        <f>$M$86*$W$86</f>
        <v>159405.5759</v>
      </c>
      <c r="AD86" s="4">
        <f>$O$86*$X$86</f>
        <v>126169.83349999999</v>
      </c>
      <c r="AE86" s="4">
        <f>$K$86*$Y$86</f>
        <v>0</v>
      </c>
      <c r="AF86" s="4">
        <f ca="1">$M$86*$Z$86</f>
        <v>233244.54154257791</v>
      </c>
      <c r="AG86" s="4">
        <f>$O$86*$AA$86</f>
        <v>99440.421896419939</v>
      </c>
    </row>
    <row r="87" spans="1:33" ht="11.25" customHeight="1" x14ac:dyDescent="0.3">
      <c r="A87" s="3" t="s">
        <v>28</v>
      </c>
      <c r="B87" s="3" t="s">
        <v>22</v>
      </c>
      <c r="C87" s="3" t="s">
        <v>23</v>
      </c>
      <c r="D87" s="3" t="s">
        <v>24</v>
      </c>
      <c r="E87" s="3" t="s">
        <v>24</v>
      </c>
      <c r="F87" s="3" t="s">
        <v>25</v>
      </c>
      <c r="G87" s="3" t="s">
        <v>25</v>
      </c>
      <c r="H87" s="3" t="s">
        <v>25</v>
      </c>
      <c r="I87" s="6">
        <v>44562</v>
      </c>
      <c r="J87" s="4">
        <v>0</v>
      </c>
      <c r="K87" s="4">
        <v>0</v>
      </c>
      <c r="L87" s="4">
        <v>2.0299999999999998</v>
      </c>
      <c r="M87" s="4">
        <v>2.0299999999999998</v>
      </c>
      <c r="N87" s="4">
        <v>2.0299999999999998</v>
      </c>
      <c r="O87" s="4">
        <v>2.0299999999999998</v>
      </c>
      <c r="P87" s="4">
        <v>19</v>
      </c>
      <c r="Q87" s="3" t="s">
        <v>26</v>
      </c>
      <c r="R87" s="3">
        <v>0</v>
      </c>
      <c r="S87" s="4">
        <v>0</v>
      </c>
      <c r="T87" s="4">
        <v>18</v>
      </c>
      <c r="U87" s="4">
        <v>56</v>
      </c>
      <c r="V87" s="4">
        <f>IF(ISERROR(VLOOKUP($S$87,'TAR FIN'!$A$1:$O$88,15,0)),0,VLOOKUP($S$87,'TAR FIN'!$A$1:$O$88,15,0))</f>
        <v>0</v>
      </c>
      <c r="W87" s="4">
        <f>IF(ISERROR(VLOOKUP($T$87,'TAR FIN'!$A$1:$O$88,15,0)),0,VLOOKUP($T$87,'TAR FIN'!$A$1:$O$88,15,0))</f>
        <v>306.19</v>
      </c>
      <c r="X87" s="4">
        <f>IF(ISERROR(VLOOKUP($U$87,'TAR FIN'!$A$1:$O$88,15,0)),0,VLOOKUP($U$87,'TAR FIN'!$A$1:$O$88,15,0))</f>
        <v>242.35</v>
      </c>
      <c r="Y87" s="4"/>
      <c r="Z87" s="4">
        <f ca="1">('TUSD BE'!$AM$20+'TUSD BF'!$AM$20+'TUSD CVA'!$AM$20)*1</f>
        <v>448.02163143730991</v>
      </c>
      <c r="AA87" s="4">
        <f>('TE BE'!$AB$10+'TE BF'!$AB$10+'TE CVA'!$AB$10)*1</f>
        <v>191.00751406315655</v>
      </c>
      <c r="AB87" s="4">
        <f>$K$87*$V$87</f>
        <v>0</v>
      </c>
      <c r="AC87" s="4">
        <f>$M$87*$W$87</f>
        <v>621.56569999999988</v>
      </c>
      <c r="AD87" s="4">
        <f>$O$87*$X$87</f>
        <v>491.97049999999996</v>
      </c>
      <c r="AE87" s="4">
        <f>$K$87*$Y$87</f>
        <v>0</v>
      </c>
      <c r="AF87" s="4">
        <f ca="1">$M$87*$Z$87</f>
        <v>909.483911817739</v>
      </c>
      <c r="AG87" s="4">
        <f>$O$87*$AA$87</f>
        <v>387.74525354820776</v>
      </c>
    </row>
    <row r="88" spans="1:33" ht="11.25" customHeight="1" x14ac:dyDescent="0.3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24</v>
      </c>
      <c r="F88" s="3" t="s">
        <v>25</v>
      </c>
      <c r="G88" s="3" t="s">
        <v>25</v>
      </c>
      <c r="H88" s="3" t="s">
        <v>25</v>
      </c>
      <c r="I88" s="6">
        <v>44593</v>
      </c>
      <c r="J88" s="4">
        <v>0</v>
      </c>
      <c r="K88" s="4">
        <v>0</v>
      </c>
      <c r="L88" s="4">
        <v>667.26</v>
      </c>
      <c r="M88" s="4">
        <v>667.26</v>
      </c>
      <c r="N88" s="4">
        <v>667.26</v>
      </c>
      <c r="O88" s="4">
        <v>667.26</v>
      </c>
      <c r="P88" s="4">
        <v>2847</v>
      </c>
      <c r="Q88" s="3" t="s">
        <v>26</v>
      </c>
      <c r="R88" s="3">
        <v>0</v>
      </c>
      <c r="S88" s="4">
        <v>0</v>
      </c>
      <c r="T88" s="4">
        <v>18</v>
      </c>
      <c r="U88" s="4">
        <v>56</v>
      </c>
      <c r="V88" s="4">
        <f>IF(ISERROR(VLOOKUP($S$88,'TAR FIN'!$A$1:$O$88,15,0)),0,VLOOKUP($S$88,'TAR FIN'!$A$1:$O$88,15,0))</f>
        <v>0</v>
      </c>
      <c r="W88" s="4">
        <f>IF(ISERROR(VLOOKUP($T$88,'TAR FIN'!$A$1:$O$88,15,0)),0,VLOOKUP($T$88,'TAR FIN'!$A$1:$O$88,15,0))</f>
        <v>306.19</v>
      </c>
      <c r="X88" s="4">
        <f>IF(ISERROR(VLOOKUP($U$88,'TAR FIN'!$A$1:$O$88,15,0)),0,VLOOKUP($U$88,'TAR FIN'!$A$1:$O$88,15,0))</f>
        <v>242.35</v>
      </c>
      <c r="Y88" s="4"/>
      <c r="Z88" s="4">
        <f ca="1">('TUSD BE'!$AM$20+'TUSD BF'!$AM$20+'TUSD CVA'!$AM$20)*1</f>
        <v>448.02163143730991</v>
      </c>
      <c r="AA88" s="4">
        <f>('TE BE'!$AB$10+'TE BF'!$AB$10+'TE CVA'!$AB$10)*1</f>
        <v>191.00751406315655</v>
      </c>
      <c r="AB88" s="4">
        <f>$K$88*$V$88</f>
        <v>0</v>
      </c>
      <c r="AC88" s="4">
        <f>$M$88*$W$88</f>
        <v>204308.3394</v>
      </c>
      <c r="AD88" s="4">
        <f>$O$88*$X$88</f>
        <v>161710.46099999998</v>
      </c>
      <c r="AE88" s="4">
        <f>$K$88*$Y$88</f>
        <v>0</v>
      </c>
      <c r="AF88" s="4">
        <f ca="1">$M$88*$Z$88</f>
        <v>298946.91379285941</v>
      </c>
      <c r="AG88" s="4">
        <f>$O$88*$AA$88</f>
        <v>127451.67383378184</v>
      </c>
    </row>
    <row r="89" spans="1:33" ht="11.25" customHeight="1" x14ac:dyDescent="0.3">
      <c r="A89" s="3" t="s">
        <v>27</v>
      </c>
      <c r="B89" s="3" t="s">
        <v>22</v>
      </c>
      <c r="C89" s="3" t="s">
        <v>23</v>
      </c>
      <c r="D89" s="3" t="s">
        <v>24</v>
      </c>
      <c r="E89" s="3" t="s">
        <v>24</v>
      </c>
      <c r="F89" s="3" t="s">
        <v>25</v>
      </c>
      <c r="G89" s="3" t="s">
        <v>25</v>
      </c>
      <c r="H89" s="3" t="s">
        <v>25</v>
      </c>
      <c r="I89" s="6">
        <v>44593</v>
      </c>
      <c r="J89" s="4">
        <v>0</v>
      </c>
      <c r="K89" s="4">
        <v>0</v>
      </c>
      <c r="L89" s="4">
        <v>-3.3889999999999998</v>
      </c>
      <c r="M89" s="4">
        <v>-3.3889999999999998</v>
      </c>
      <c r="N89" s="4">
        <v>-3.3889999999999998</v>
      </c>
      <c r="O89" s="4">
        <v>-3.3889999999999998</v>
      </c>
      <c r="P89" s="4">
        <v>0</v>
      </c>
      <c r="Q89" s="3" t="s">
        <v>26</v>
      </c>
      <c r="R89" s="3">
        <v>0</v>
      </c>
      <c r="S89" s="4">
        <v>0</v>
      </c>
      <c r="T89" s="4">
        <v>18</v>
      </c>
      <c r="U89" s="4">
        <v>56</v>
      </c>
      <c r="V89" s="4">
        <f>IF(ISERROR(VLOOKUP($S$89,'TAR FIN'!$A$1:$O$88,15,0)),0,VLOOKUP($S$89,'TAR FIN'!$A$1:$O$88,15,0))</f>
        <v>0</v>
      </c>
      <c r="W89" s="4">
        <f>IF(ISERROR(VLOOKUP($T$89,'TAR FIN'!$A$1:$O$88,15,0)),0,VLOOKUP($T$89,'TAR FIN'!$A$1:$O$88,15,0))</f>
        <v>306.19</v>
      </c>
      <c r="X89" s="4">
        <f>IF(ISERROR(VLOOKUP($U$89,'TAR FIN'!$A$1:$O$88,15,0)),0,VLOOKUP($U$89,'TAR FIN'!$A$1:$O$88,15,0))</f>
        <v>242.35</v>
      </c>
      <c r="Y89" s="4"/>
      <c r="Z89" s="4">
        <f ca="1">('TUSD BE'!$AM$20+'TUSD BF'!$AM$20+'TUSD CVA'!$AM$20)*1</f>
        <v>448.02163143730991</v>
      </c>
      <c r="AA89" s="4">
        <f>('TE BE'!$AB$10+'TE BF'!$AB$10+'TE CVA'!$AB$10)*1</f>
        <v>191.00751406315655</v>
      </c>
      <c r="AB89" s="4">
        <f>$K$89*$V$89</f>
        <v>0</v>
      </c>
      <c r="AC89" s="4">
        <f>$M$89*$W$89</f>
        <v>-1037.6779099999999</v>
      </c>
      <c r="AD89" s="4">
        <f>$O$89*$X$89</f>
        <v>-821.32414999999992</v>
      </c>
      <c r="AE89" s="4">
        <f>$K$89*$Y$89</f>
        <v>0</v>
      </c>
      <c r="AF89" s="4">
        <f ca="1">$M$89*$Z$89</f>
        <v>-1518.3453089410432</v>
      </c>
      <c r="AG89" s="4">
        <f>$O$89*$AA$89</f>
        <v>-647.32446516003745</v>
      </c>
    </row>
    <row r="90" spans="1:33" ht="11.25" customHeight="1" x14ac:dyDescent="0.3">
      <c r="A90" s="3" t="s">
        <v>28</v>
      </c>
      <c r="B90" s="3" t="s">
        <v>22</v>
      </c>
      <c r="C90" s="3" t="s">
        <v>23</v>
      </c>
      <c r="D90" s="3" t="s">
        <v>24</v>
      </c>
      <c r="E90" s="3" t="s">
        <v>24</v>
      </c>
      <c r="F90" s="3" t="s">
        <v>25</v>
      </c>
      <c r="G90" s="3" t="s">
        <v>25</v>
      </c>
      <c r="H90" s="3" t="s">
        <v>25</v>
      </c>
      <c r="I90" s="6">
        <v>44593</v>
      </c>
      <c r="J90" s="4">
        <v>0</v>
      </c>
      <c r="K90" s="4">
        <v>0</v>
      </c>
      <c r="L90" s="4">
        <v>3.0150000000000001</v>
      </c>
      <c r="M90" s="4">
        <v>3.0150000000000001</v>
      </c>
      <c r="N90" s="4">
        <v>3.0150000000000001</v>
      </c>
      <c r="O90" s="4">
        <v>3.0150000000000001</v>
      </c>
      <c r="P90" s="4">
        <v>20</v>
      </c>
      <c r="Q90" s="3" t="s">
        <v>26</v>
      </c>
      <c r="R90" s="3">
        <v>0</v>
      </c>
      <c r="S90" s="4">
        <v>0</v>
      </c>
      <c r="T90" s="4">
        <v>18</v>
      </c>
      <c r="U90" s="4">
        <v>56</v>
      </c>
      <c r="V90" s="4">
        <f>IF(ISERROR(VLOOKUP($S$90,'TAR FIN'!$A$1:$O$88,15,0)),0,VLOOKUP($S$90,'TAR FIN'!$A$1:$O$88,15,0))</f>
        <v>0</v>
      </c>
      <c r="W90" s="4">
        <f>IF(ISERROR(VLOOKUP($T$90,'TAR FIN'!$A$1:$O$88,15,0)),0,VLOOKUP($T$90,'TAR FIN'!$A$1:$O$88,15,0))</f>
        <v>306.19</v>
      </c>
      <c r="X90" s="4">
        <f>IF(ISERROR(VLOOKUP($U$90,'TAR FIN'!$A$1:$O$88,15,0)),0,VLOOKUP($U$90,'TAR FIN'!$A$1:$O$88,15,0))</f>
        <v>242.35</v>
      </c>
      <c r="Y90" s="4"/>
      <c r="Z90" s="4">
        <f ca="1">('TUSD BE'!$AM$20+'TUSD BF'!$AM$20+'TUSD CVA'!$AM$20)*1</f>
        <v>448.02163143730991</v>
      </c>
      <c r="AA90" s="4">
        <f>('TE BE'!$AB$10+'TE BF'!$AB$10+'TE CVA'!$AB$10)*1</f>
        <v>191.00751406315655</v>
      </c>
      <c r="AB90" s="4">
        <f>$K$90*$V$90</f>
        <v>0</v>
      </c>
      <c r="AC90" s="4">
        <f>$M$90*$W$90</f>
        <v>923.16285000000005</v>
      </c>
      <c r="AD90" s="4">
        <f>$O$90*$X$90</f>
        <v>730.68525</v>
      </c>
      <c r="AE90" s="4">
        <f>$K$90*$Y$90</f>
        <v>0</v>
      </c>
      <c r="AF90" s="4">
        <f ca="1">$M$90*$Z$90</f>
        <v>1350.7852187834894</v>
      </c>
      <c r="AG90" s="4">
        <f>$O$90*$AA$90</f>
        <v>575.88765490041703</v>
      </c>
    </row>
    <row r="91" spans="1:33" ht="11.25" customHeight="1" x14ac:dyDescent="0.3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24</v>
      </c>
      <c r="F91" s="3" t="s">
        <v>25</v>
      </c>
      <c r="G91" s="3" t="s">
        <v>25</v>
      </c>
      <c r="H91" s="3" t="s">
        <v>25</v>
      </c>
      <c r="I91" s="6">
        <v>44621</v>
      </c>
      <c r="J91" s="4">
        <v>0</v>
      </c>
      <c r="K91" s="4">
        <v>0</v>
      </c>
      <c r="L91" s="4">
        <v>532.94500000000005</v>
      </c>
      <c r="M91" s="4">
        <v>532.94500000000005</v>
      </c>
      <c r="N91" s="4">
        <v>532.94500000000005</v>
      </c>
      <c r="O91" s="4">
        <v>532.94500000000005</v>
      </c>
      <c r="P91" s="4">
        <v>2822</v>
      </c>
      <c r="Q91" s="3" t="s">
        <v>26</v>
      </c>
      <c r="R91" s="3">
        <v>0</v>
      </c>
      <c r="S91" s="4">
        <v>0</v>
      </c>
      <c r="T91" s="4">
        <v>18</v>
      </c>
      <c r="U91" s="4">
        <v>56</v>
      </c>
      <c r="V91" s="4">
        <f>IF(ISERROR(VLOOKUP($S$91,'TAR FIN'!$A$1:$O$88,15,0)),0,VLOOKUP($S$91,'TAR FIN'!$A$1:$O$88,15,0))</f>
        <v>0</v>
      </c>
      <c r="W91" s="4">
        <f>IF(ISERROR(VLOOKUP($T$91,'TAR FIN'!$A$1:$O$88,15,0)),0,VLOOKUP($T$91,'TAR FIN'!$A$1:$O$88,15,0))</f>
        <v>306.19</v>
      </c>
      <c r="X91" s="4">
        <f>IF(ISERROR(VLOOKUP($U$91,'TAR FIN'!$A$1:$O$88,15,0)),0,VLOOKUP($U$91,'TAR FIN'!$A$1:$O$88,15,0))</f>
        <v>242.35</v>
      </c>
      <c r="Y91" s="4"/>
      <c r="Z91" s="4">
        <f ca="1">('TUSD BE'!$AM$20+'TUSD BF'!$AM$20+'TUSD CVA'!$AM$20)*1</f>
        <v>448.02163143730991</v>
      </c>
      <c r="AA91" s="4">
        <f>('TE BE'!$AB$10+'TE BF'!$AB$10+'TE CVA'!$AB$10)*1</f>
        <v>191.00751406315655</v>
      </c>
      <c r="AB91" s="4">
        <f>$K$91*$V$91</f>
        <v>0</v>
      </c>
      <c r="AC91" s="4">
        <f>$M$91*$W$91</f>
        <v>163182.42955</v>
      </c>
      <c r="AD91" s="4">
        <f>$O$91*$X$91</f>
        <v>129159.22075000001</v>
      </c>
      <c r="AE91" s="4">
        <f>$K$91*$Y$91</f>
        <v>0</v>
      </c>
      <c r="AF91" s="4">
        <f ca="1">$M$91*$Z$91</f>
        <v>238770.88836635716</v>
      </c>
      <c r="AG91" s="4">
        <f>$O$91*$AA$91</f>
        <v>101796.49958238898</v>
      </c>
    </row>
    <row r="92" spans="1:33" ht="11.25" customHeight="1" x14ac:dyDescent="0.3">
      <c r="A92" s="3" t="s">
        <v>27</v>
      </c>
      <c r="B92" s="3" t="s">
        <v>22</v>
      </c>
      <c r="C92" s="3" t="s">
        <v>23</v>
      </c>
      <c r="D92" s="3" t="s">
        <v>24</v>
      </c>
      <c r="E92" s="3" t="s">
        <v>24</v>
      </c>
      <c r="F92" s="3" t="s">
        <v>25</v>
      </c>
      <c r="G92" s="3" t="s">
        <v>25</v>
      </c>
      <c r="H92" s="3" t="s">
        <v>25</v>
      </c>
      <c r="I92" s="6">
        <v>44621</v>
      </c>
      <c r="J92" s="4">
        <v>0</v>
      </c>
      <c r="K92" s="4">
        <v>0</v>
      </c>
      <c r="L92" s="4">
        <v>-1.036</v>
      </c>
      <c r="M92" s="4">
        <v>-1.036</v>
      </c>
      <c r="N92" s="4">
        <v>-1.036</v>
      </c>
      <c r="O92" s="4">
        <v>-1.036</v>
      </c>
      <c r="P92" s="4">
        <v>0</v>
      </c>
      <c r="Q92" s="3" t="s">
        <v>26</v>
      </c>
      <c r="R92" s="3">
        <v>0</v>
      </c>
      <c r="S92" s="4">
        <v>0</v>
      </c>
      <c r="T92" s="4">
        <v>18</v>
      </c>
      <c r="U92" s="4">
        <v>56</v>
      </c>
      <c r="V92" s="4">
        <f>IF(ISERROR(VLOOKUP($S$92,'TAR FIN'!$A$1:$O$88,15,0)),0,VLOOKUP($S$92,'TAR FIN'!$A$1:$O$88,15,0))</f>
        <v>0</v>
      </c>
      <c r="W92" s="4">
        <f>IF(ISERROR(VLOOKUP($T$92,'TAR FIN'!$A$1:$O$88,15,0)),0,VLOOKUP($T$92,'TAR FIN'!$A$1:$O$88,15,0))</f>
        <v>306.19</v>
      </c>
      <c r="X92" s="4">
        <f>IF(ISERROR(VLOOKUP($U$92,'TAR FIN'!$A$1:$O$88,15,0)),0,VLOOKUP($U$92,'TAR FIN'!$A$1:$O$88,15,0))</f>
        <v>242.35</v>
      </c>
      <c r="Y92" s="4"/>
      <c r="Z92" s="4">
        <f ca="1">('TUSD BE'!$AM$20+'TUSD BF'!$AM$20+'TUSD CVA'!$AM$20)*1</f>
        <v>448.02163143730991</v>
      </c>
      <c r="AA92" s="4">
        <f>('TE BE'!$AB$10+'TE BF'!$AB$10+'TE CVA'!$AB$10)*1</f>
        <v>191.00751406315655</v>
      </c>
      <c r="AB92" s="4">
        <f>$K$92*$V$92</f>
        <v>0</v>
      </c>
      <c r="AC92" s="4">
        <f>$M$92*$W$92</f>
        <v>-317.21284000000003</v>
      </c>
      <c r="AD92" s="4">
        <f>$O$92*$X$92</f>
        <v>-251.0746</v>
      </c>
      <c r="AE92" s="4">
        <f>$K$92*$Y$92</f>
        <v>0</v>
      </c>
      <c r="AF92" s="4">
        <f ca="1">$M$92*$Z$92</f>
        <v>-464.15041016905309</v>
      </c>
      <c r="AG92" s="4">
        <f>$O$92*$AA$92</f>
        <v>-197.88378456943019</v>
      </c>
    </row>
    <row r="93" spans="1:33" ht="11.25" customHeight="1" x14ac:dyDescent="0.3">
      <c r="A93" s="3" t="s">
        <v>28</v>
      </c>
      <c r="B93" s="3" t="s">
        <v>22</v>
      </c>
      <c r="C93" s="3" t="s">
        <v>23</v>
      </c>
      <c r="D93" s="3" t="s">
        <v>24</v>
      </c>
      <c r="E93" s="3" t="s">
        <v>24</v>
      </c>
      <c r="F93" s="3" t="s">
        <v>25</v>
      </c>
      <c r="G93" s="3" t="s">
        <v>25</v>
      </c>
      <c r="H93" s="3" t="s">
        <v>25</v>
      </c>
      <c r="I93" s="6">
        <v>44621</v>
      </c>
      <c r="J93" s="4">
        <v>0</v>
      </c>
      <c r="K93" s="4">
        <v>0</v>
      </c>
      <c r="L93" s="4">
        <v>2.6539999999999999</v>
      </c>
      <c r="M93" s="4">
        <v>2.6539999999999999</v>
      </c>
      <c r="N93" s="4">
        <v>2.6539999999999999</v>
      </c>
      <c r="O93" s="4">
        <v>2.6539999999999999</v>
      </c>
      <c r="P93" s="4">
        <v>18</v>
      </c>
      <c r="Q93" s="3" t="s">
        <v>26</v>
      </c>
      <c r="R93" s="3">
        <v>0</v>
      </c>
      <c r="S93" s="4">
        <v>0</v>
      </c>
      <c r="T93" s="4">
        <v>18</v>
      </c>
      <c r="U93" s="4">
        <v>56</v>
      </c>
      <c r="V93" s="4">
        <f>IF(ISERROR(VLOOKUP($S$93,'TAR FIN'!$A$1:$O$88,15,0)),0,VLOOKUP($S$93,'TAR FIN'!$A$1:$O$88,15,0))</f>
        <v>0</v>
      </c>
      <c r="W93" s="4">
        <f>IF(ISERROR(VLOOKUP($T$93,'TAR FIN'!$A$1:$O$88,15,0)),0,VLOOKUP($T$93,'TAR FIN'!$A$1:$O$88,15,0))</f>
        <v>306.19</v>
      </c>
      <c r="X93" s="4">
        <f>IF(ISERROR(VLOOKUP($U$93,'TAR FIN'!$A$1:$O$88,15,0)),0,VLOOKUP($U$93,'TAR FIN'!$A$1:$O$88,15,0))</f>
        <v>242.35</v>
      </c>
      <c r="Y93" s="4"/>
      <c r="Z93" s="4">
        <f ca="1">('TUSD BE'!$AM$20+'TUSD BF'!$AM$20+'TUSD CVA'!$AM$20)*1</f>
        <v>448.02163143730991</v>
      </c>
      <c r="AA93" s="4">
        <f>('TE BE'!$AB$10+'TE BF'!$AB$10+'TE CVA'!$AB$10)*1</f>
        <v>191.00751406315655</v>
      </c>
      <c r="AB93" s="4">
        <f>$K$93*$V$93</f>
        <v>0</v>
      </c>
      <c r="AC93" s="4">
        <f>$M$93*$W$93</f>
        <v>812.62825999999995</v>
      </c>
      <c r="AD93" s="4">
        <f>$O$93*$X$93</f>
        <v>643.19689999999991</v>
      </c>
      <c r="AE93" s="4">
        <f>$K$93*$Y$93</f>
        <v>0</v>
      </c>
      <c r="AF93" s="4">
        <f ca="1">$M$93*$Z$93</f>
        <v>1189.0494098346205</v>
      </c>
      <c r="AG93" s="4">
        <f>$O$93*$AA$93</f>
        <v>506.93394232361749</v>
      </c>
    </row>
    <row r="94" spans="1:33" ht="11.25" customHeight="1" x14ac:dyDescent="0.3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24</v>
      </c>
      <c r="F94" s="3" t="s">
        <v>25</v>
      </c>
      <c r="G94" s="3" t="s">
        <v>25</v>
      </c>
      <c r="H94" s="3" t="s">
        <v>25</v>
      </c>
      <c r="I94" s="6">
        <v>44652</v>
      </c>
      <c r="J94" s="4">
        <v>0</v>
      </c>
      <c r="K94" s="4">
        <v>0</v>
      </c>
      <c r="L94" s="4">
        <v>474.12099999999998</v>
      </c>
      <c r="M94" s="4">
        <v>474.12099999999998</v>
      </c>
      <c r="N94" s="4">
        <v>474.12099999999998</v>
      </c>
      <c r="O94" s="4">
        <v>474.12099999999998</v>
      </c>
      <c r="P94" s="4">
        <v>2814</v>
      </c>
      <c r="Q94" s="3" t="s">
        <v>26</v>
      </c>
      <c r="R94" s="3">
        <v>0</v>
      </c>
      <c r="S94" s="4">
        <v>0</v>
      </c>
      <c r="T94" s="4">
        <v>18</v>
      </c>
      <c r="U94" s="4">
        <v>56</v>
      </c>
      <c r="V94" s="4">
        <f>IF(ISERROR(VLOOKUP($S$94,'TAR FIN'!$A$1:$O$88,15,0)),0,VLOOKUP($S$94,'TAR FIN'!$A$1:$O$88,15,0))</f>
        <v>0</v>
      </c>
      <c r="W94" s="4">
        <f>IF(ISERROR(VLOOKUP($T$94,'TAR FIN'!$A$1:$O$88,15,0)),0,VLOOKUP($T$94,'TAR FIN'!$A$1:$O$88,15,0))</f>
        <v>306.19</v>
      </c>
      <c r="X94" s="4">
        <f>IF(ISERROR(VLOOKUP($U$94,'TAR FIN'!$A$1:$O$88,15,0)),0,VLOOKUP($U$94,'TAR FIN'!$A$1:$O$88,15,0))</f>
        <v>242.35</v>
      </c>
      <c r="Y94" s="4"/>
      <c r="Z94" s="4">
        <f ca="1">('TUSD BE'!$AM$20+'TUSD BF'!$AM$20+'TUSD CVA'!$AM$20)*1</f>
        <v>448.02163143730991</v>
      </c>
      <c r="AA94" s="4">
        <f>('TE BE'!$AB$10+'TE BF'!$AB$10+'TE CVA'!$AB$10)*1</f>
        <v>191.00751406315655</v>
      </c>
      <c r="AB94" s="4">
        <f>$K$94*$V$94</f>
        <v>0</v>
      </c>
      <c r="AC94" s="4">
        <f>$M$94*$W$94</f>
        <v>145171.10898999998</v>
      </c>
      <c r="AD94" s="4">
        <f>$O$94*$X$94</f>
        <v>114903.22434999999</v>
      </c>
      <c r="AE94" s="4">
        <f>$K$94*$Y$94</f>
        <v>0</v>
      </c>
      <c r="AF94" s="4">
        <f ca="1">$M$94*$Z$94</f>
        <v>212416.46391868879</v>
      </c>
      <c r="AG94" s="4">
        <f>$O$94*$AA$94</f>
        <v>90560.673575137844</v>
      </c>
    </row>
    <row r="95" spans="1:33" ht="11.25" customHeight="1" x14ac:dyDescent="0.3">
      <c r="A95" s="3" t="s">
        <v>27</v>
      </c>
      <c r="B95" s="3" t="s">
        <v>22</v>
      </c>
      <c r="C95" s="3" t="s">
        <v>23</v>
      </c>
      <c r="D95" s="3" t="s">
        <v>24</v>
      </c>
      <c r="E95" s="3" t="s">
        <v>24</v>
      </c>
      <c r="F95" s="3" t="s">
        <v>25</v>
      </c>
      <c r="G95" s="3" t="s">
        <v>25</v>
      </c>
      <c r="H95" s="3" t="s">
        <v>25</v>
      </c>
      <c r="I95" s="6">
        <v>44652</v>
      </c>
      <c r="J95" s="4">
        <v>0</v>
      </c>
      <c r="K95" s="4">
        <v>0</v>
      </c>
      <c r="L95" s="4">
        <v>-0.76</v>
      </c>
      <c r="M95" s="4">
        <v>-0.76</v>
      </c>
      <c r="N95" s="4">
        <v>-0.76</v>
      </c>
      <c r="O95" s="4">
        <v>-0.76</v>
      </c>
      <c r="P95" s="4">
        <v>0</v>
      </c>
      <c r="Q95" s="3" t="s">
        <v>26</v>
      </c>
      <c r="R95" s="3">
        <v>0</v>
      </c>
      <c r="S95" s="4">
        <v>0</v>
      </c>
      <c r="T95" s="4">
        <v>18</v>
      </c>
      <c r="U95" s="4">
        <v>56</v>
      </c>
      <c r="V95" s="4">
        <f>IF(ISERROR(VLOOKUP($S$95,'TAR FIN'!$A$1:$O$88,15,0)),0,VLOOKUP($S$95,'TAR FIN'!$A$1:$O$88,15,0))</f>
        <v>0</v>
      </c>
      <c r="W95" s="4">
        <f>IF(ISERROR(VLOOKUP($T$95,'TAR FIN'!$A$1:$O$88,15,0)),0,VLOOKUP($T$95,'TAR FIN'!$A$1:$O$88,15,0))</f>
        <v>306.19</v>
      </c>
      <c r="X95" s="4">
        <f>IF(ISERROR(VLOOKUP($U$95,'TAR FIN'!$A$1:$O$88,15,0)),0,VLOOKUP($U$95,'TAR FIN'!$A$1:$O$88,15,0))</f>
        <v>242.35</v>
      </c>
      <c r="Y95" s="4"/>
      <c r="Z95" s="4">
        <f ca="1">('TUSD BE'!$AM$20+'TUSD BF'!$AM$20+'TUSD CVA'!$AM$20)*1</f>
        <v>448.02163143730991</v>
      </c>
      <c r="AA95" s="4">
        <f>('TE BE'!$AB$10+'TE BF'!$AB$10+'TE CVA'!$AB$10)*1</f>
        <v>191.00751406315655</v>
      </c>
      <c r="AB95" s="4">
        <f>$K$95*$V$95</f>
        <v>0</v>
      </c>
      <c r="AC95" s="4">
        <f>$M$95*$W$95</f>
        <v>-232.70439999999999</v>
      </c>
      <c r="AD95" s="4">
        <f>$O$95*$X$95</f>
        <v>-184.18600000000001</v>
      </c>
      <c r="AE95" s="4">
        <f>$K$95*$Y$95</f>
        <v>0</v>
      </c>
      <c r="AF95" s="4">
        <f ca="1">$M$95*$Z$95</f>
        <v>-340.49643989235551</v>
      </c>
      <c r="AG95" s="4">
        <f>$O$95*$AA$95</f>
        <v>-145.16571068799897</v>
      </c>
    </row>
    <row r="96" spans="1:33" ht="11.25" customHeight="1" x14ac:dyDescent="0.3">
      <c r="A96" s="3" t="s">
        <v>28</v>
      </c>
      <c r="B96" s="3" t="s">
        <v>22</v>
      </c>
      <c r="C96" s="3" t="s">
        <v>23</v>
      </c>
      <c r="D96" s="3" t="s">
        <v>24</v>
      </c>
      <c r="E96" s="3" t="s">
        <v>24</v>
      </c>
      <c r="F96" s="3" t="s">
        <v>25</v>
      </c>
      <c r="G96" s="3" t="s">
        <v>25</v>
      </c>
      <c r="H96" s="3" t="s">
        <v>25</v>
      </c>
      <c r="I96" s="6">
        <v>44652</v>
      </c>
      <c r="J96" s="4">
        <v>0</v>
      </c>
      <c r="K96" s="4">
        <v>0</v>
      </c>
      <c r="L96" s="4">
        <v>2.738</v>
      </c>
      <c r="M96" s="4">
        <v>2.738</v>
      </c>
      <c r="N96" s="4">
        <v>2.738</v>
      </c>
      <c r="O96" s="4">
        <v>2.738</v>
      </c>
      <c r="P96" s="4">
        <v>19</v>
      </c>
      <c r="Q96" s="3" t="s">
        <v>26</v>
      </c>
      <c r="R96" s="3">
        <v>0</v>
      </c>
      <c r="S96" s="4">
        <v>0</v>
      </c>
      <c r="T96" s="4">
        <v>18</v>
      </c>
      <c r="U96" s="4">
        <v>56</v>
      </c>
      <c r="V96" s="4">
        <f>IF(ISERROR(VLOOKUP($S$96,'TAR FIN'!$A$1:$O$88,15,0)),0,VLOOKUP($S$96,'TAR FIN'!$A$1:$O$88,15,0))</f>
        <v>0</v>
      </c>
      <c r="W96" s="4">
        <f>IF(ISERROR(VLOOKUP($T$96,'TAR FIN'!$A$1:$O$88,15,0)),0,VLOOKUP($T$96,'TAR FIN'!$A$1:$O$88,15,0))</f>
        <v>306.19</v>
      </c>
      <c r="X96" s="4">
        <f>IF(ISERROR(VLOOKUP($U$96,'TAR FIN'!$A$1:$O$88,15,0)),0,VLOOKUP($U$96,'TAR FIN'!$A$1:$O$88,15,0))</f>
        <v>242.35</v>
      </c>
      <c r="Y96" s="4"/>
      <c r="Z96" s="4">
        <f ca="1">('TUSD BE'!$AM$20+'TUSD BF'!$AM$20+'TUSD CVA'!$AM$20)*1</f>
        <v>448.02163143730991</v>
      </c>
      <c r="AA96" s="4">
        <f>('TE BE'!$AB$10+'TE BF'!$AB$10+'TE CVA'!$AB$10)*1</f>
        <v>191.00751406315655</v>
      </c>
      <c r="AB96" s="4">
        <f>$K$96*$V$96</f>
        <v>0</v>
      </c>
      <c r="AC96" s="4">
        <f>$M$96*$W$96</f>
        <v>838.34821999999997</v>
      </c>
      <c r="AD96" s="4">
        <f>$O$96*$X$96</f>
        <v>663.55430000000001</v>
      </c>
      <c r="AE96" s="4">
        <f>$K$96*$Y$96</f>
        <v>0</v>
      </c>
      <c r="AF96" s="4">
        <f ca="1">$M$96*$Z$96</f>
        <v>1226.6832268753544</v>
      </c>
      <c r="AG96" s="4">
        <f>$O$96*$AA$96</f>
        <v>522.97857350492268</v>
      </c>
    </row>
    <row r="97" spans="1:33" ht="11.25" customHeight="1" x14ac:dyDescent="0.3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24</v>
      </c>
      <c r="F97" s="3" t="s">
        <v>25</v>
      </c>
      <c r="G97" s="3" t="s">
        <v>25</v>
      </c>
      <c r="H97" s="3" t="s">
        <v>25</v>
      </c>
      <c r="I97" s="6">
        <v>44682</v>
      </c>
      <c r="J97" s="4">
        <v>0</v>
      </c>
      <c r="K97" s="4">
        <v>0</v>
      </c>
      <c r="L97" s="4">
        <v>422.15100000000001</v>
      </c>
      <c r="M97" s="4">
        <v>422.15100000000001</v>
      </c>
      <c r="N97" s="4">
        <v>422.15100000000001</v>
      </c>
      <c r="O97" s="4">
        <v>422.15100000000001</v>
      </c>
      <c r="P97" s="4">
        <v>2808</v>
      </c>
      <c r="Q97" s="3" t="s">
        <v>26</v>
      </c>
      <c r="R97" s="3">
        <v>0</v>
      </c>
      <c r="S97" s="4">
        <v>0</v>
      </c>
      <c r="T97" s="4">
        <v>18</v>
      </c>
      <c r="U97" s="4">
        <v>56</v>
      </c>
      <c r="V97" s="4">
        <f>IF(ISERROR(VLOOKUP($S$97,'TAR FIN'!$A$1:$O$88,15,0)),0,VLOOKUP($S$97,'TAR FIN'!$A$1:$O$88,15,0))</f>
        <v>0</v>
      </c>
      <c r="W97" s="4">
        <f>IF(ISERROR(VLOOKUP($T$97,'TAR FIN'!$A$1:$O$88,15,0)),0,VLOOKUP($T$97,'TAR FIN'!$A$1:$O$88,15,0))</f>
        <v>306.19</v>
      </c>
      <c r="X97" s="4">
        <f>IF(ISERROR(VLOOKUP($U$97,'TAR FIN'!$A$1:$O$88,15,0)),0,VLOOKUP($U$97,'TAR FIN'!$A$1:$O$88,15,0))</f>
        <v>242.35</v>
      </c>
      <c r="Y97" s="4"/>
      <c r="Z97" s="4">
        <f ca="1">('TUSD BE'!$AM$20+'TUSD BF'!$AM$20+'TUSD CVA'!$AM$20)*1</f>
        <v>448.02163143730991</v>
      </c>
      <c r="AA97" s="4">
        <f>('TE BE'!$AB$10+'TE BF'!$AB$10+'TE CVA'!$AB$10)*1</f>
        <v>191.00751406315655</v>
      </c>
      <c r="AB97" s="4">
        <f>$K$97*$V$97</f>
        <v>0</v>
      </c>
      <c r="AC97" s="4">
        <f>$M$97*$W$97</f>
        <v>129258.41469000001</v>
      </c>
      <c r="AD97" s="4">
        <f>$O$97*$X$97</f>
        <v>102308.29485000001</v>
      </c>
      <c r="AE97" s="4">
        <f>$K$97*$Y$97</f>
        <v>0</v>
      </c>
      <c r="AF97" s="4">
        <f ca="1">$M$97*$Z$97</f>
        <v>189132.77973289182</v>
      </c>
      <c r="AG97" s="4">
        <f>$O$97*$AA$97</f>
        <v>80634.013069275607</v>
      </c>
    </row>
    <row r="98" spans="1:33" ht="11.25" customHeight="1" x14ac:dyDescent="0.3">
      <c r="A98" s="3" t="s">
        <v>27</v>
      </c>
      <c r="B98" s="3" t="s">
        <v>22</v>
      </c>
      <c r="C98" s="3" t="s">
        <v>23</v>
      </c>
      <c r="D98" s="3" t="s">
        <v>24</v>
      </c>
      <c r="E98" s="3" t="s">
        <v>24</v>
      </c>
      <c r="F98" s="3" t="s">
        <v>25</v>
      </c>
      <c r="G98" s="3" t="s">
        <v>25</v>
      </c>
      <c r="H98" s="3" t="s">
        <v>25</v>
      </c>
      <c r="I98" s="6">
        <v>44682</v>
      </c>
      <c r="J98" s="4">
        <v>0</v>
      </c>
      <c r="K98" s="4">
        <v>0</v>
      </c>
      <c r="L98" s="4">
        <v>-0.97599999999999998</v>
      </c>
      <c r="M98" s="4">
        <v>-0.97599999999999998</v>
      </c>
      <c r="N98" s="4">
        <v>-0.97599999999999998</v>
      </c>
      <c r="O98" s="4">
        <v>-0.97599999999999998</v>
      </c>
      <c r="P98" s="4">
        <v>0</v>
      </c>
      <c r="Q98" s="3" t="s">
        <v>26</v>
      </c>
      <c r="R98" s="3">
        <v>0</v>
      </c>
      <c r="S98" s="4">
        <v>0</v>
      </c>
      <c r="T98" s="4">
        <v>18</v>
      </c>
      <c r="U98" s="4">
        <v>56</v>
      </c>
      <c r="V98" s="4">
        <f>IF(ISERROR(VLOOKUP($S$98,'TAR FIN'!$A$1:$O$88,15,0)),0,VLOOKUP($S$98,'TAR FIN'!$A$1:$O$88,15,0))</f>
        <v>0</v>
      </c>
      <c r="W98" s="4">
        <f>IF(ISERROR(VLOOKUP($T$98,'TAR FIN'!$A$1:$O$88,15,0)),0,VLOOKUP($T$98,'TAR FIN'!$A$1:$O$88,15,0))</f>
        <v>306.19</v>
      </c>
      <c r="X98" s="4">
        <f>IF(ISERROR(VLOOKUP($U$98,'TAR FIN'!$A$1:$O$88,15,0)),0,VLOOKUP($U$98,'TAR FIN'!$A$1:$O$88,15,0))</f>
        <v>242.35</v>
      </c>
      <c r="Y98" s="4"/>
      <c r="Z98" s="4">
        <f ca="1">('TUSD BE'!$AM$20+'TUSD BF'!$AM$20+'TUSD CVA'!$AM$20)*1</f>
        <v>448.02163143730991</v>
      </c>
      <c r="AA98" s="4">
        <f>('TE BE'!$AB$10+'TE BF'!$AB$10+'TE CVA'!$AB$10)*1</f>
        <v>191.00751406315655</v>
      </c>
      <c r="AB98" s="4">
        <f>$K$98*$V$98</f>
        <v>0</v>
      </c>
      <c r="AC98" s="4">
        <f>$M$98*$W$98</f>
        <v>-298.84143999999998</v>
      </c>
      <c r="AD98" s="4">
        <f>$O$98*$X$98</f>
        <v>-236.53359999999998</v>
      </c>
      <c r="AE98" s="4">
        <f>$K$98*$Y$98</f>
        <v>0</v>
      </c>
      <c r="AF98" s="4">
        <f ca="1">$M$98*$Z$98</f>
        <v>-437.26911228281443</v>
      </c>
      <c r="AG98" s="4">
        <f>$O$98*$AA$98</f>
        <v>-186.42333372564079</v>
      </c>
    </row>
    <row r="99" spans="1:33" ht="11.25" customHeight="1" x14ac:dyDescent="0.3">
      <c r="A99" s="3" t="s">
        <v>28</v>
      </c>
      <c r="B99" s="3" t="s">
        <v>22</v>
      </c>
      <c r="C99" s="3" t="s">
        <v>23</v>
      </c>
      <c r="D99" s="3" t="s">
        <v>24</v>
      </c>
      <c r="E99" s="3" t="s">
        <v>24</v>
      </c>
      <c r="F99" s="3" t="s">
        <v>25</v>
      </c>
      <c r="G99" s="3" t="s">
        <v>25</v>
      </c>
      <c r="H99" s="3" t="s">
        <v>25</v>
      </c>
      <c r="I99" s="6">
        <v>44682</v>
      </c>
      <c r="J99" s="4">
        <v>0</v>
      </c>
      <c r="K99" s="4">
        <v>0</v>
      </c>
      <c r="L99" s="4">
        <v>2.1309999999999998</v>
      </c>
      <c r="M99" s="4">
        <v>2.1309999999999998</v>
      </c>
      <c r="N99" s="4">
        <v>2.1309999999999998</v>
      </c>
      <c r="O99" s="4">
        <v>2.1309999999999998</v>
      </c>
      <c r="P99" s="4">
        <v>20</v>
      </c>
      <c r="Q99" s="3" t="s">
        <v>26</v>
      </c>
      <c r="R99" s="3">
        <v>0</v>
      </c>
      <c r="S99" s="4">
        <v>0</v>
      </c>
      <c r="T99" s="4">
        <v>18</v>
      </c>
      <c r="U99" s="4">
        <v>56</v>
      </c>
      <c r="V99" s="4">
        <f>IF(ISERROR(VLOOKUP($S$99,'TAR FIN'!$A$1:$O$88,15,0)),0,VLOOKUP($S$99,'TAR FIN'!$A$1:$O$88,15,0))</f>
        <v>0</v>
      </c>
      <c r="W99" s="4">
        <f>IF(ISERROR(VLOOKUP($T$99,'TAR FIN'!$A$1:$O$88,15,0)),0,VLOOKUP($T$99,'TAR FIN'!$A$1:$O$88,15,0))</f>
        <v>306.19</v>
      </c>
      <c r="X99" s="4">
        <f>IF(ISERROR(VLOOKUP($U$99,'TAR FIN'!$A$1:$O$88,15,0)),0,VLOOKUP($U$99,'TAR FIN'!$A$1:$O$88,15,0))</f>
        <v>242.35</v>
      </c>
      <c r="Y99" s="4"/>
      <c r="Z99" s="4">
        <f ca="1">('TUSD BE'!$AM$20+'TUSD BF'!$AM$20+'TUSD CVA'!$AM$20)*1</f>
        <v>448.02163143730991</v>
      </c>
      <c r="AA99" s="4">
        <f>('TE BE'!$AB$10+'TE BF'!$AB$10+'TE CVA'!$AB$10)*1</f>
        <v>191.00751406315655</v>
      </c>
      <c r="AB99" s="4">
        <f>$K$99*$V$99</f>
        <v>0</v>
      </c>
      <c r="AC99" s="4">
        <f>$M$99*$W$99</f>
        <v>652.49088999999992</v>
      </c>
      <c r="AD99" s="4">
        <f>$O$99*$X$99</f>
        <v>516.4478499999999</v>
      </c>
      <c r="AE99" s="4">
        <f>$K$99*$Y$99</f>
        <v>0</v>
      </c>
      <c r="AF99" s="4">
        <f ca="1">$M$99*$Z$99</f>
        <v>954.73409659290735</v>
      </c>
      <c r="AG99" s="4">
        <f>$O$99*$AA$99</f>
        <v>407.03701246858657</v>
      </c>
    </row>
    <row r="100" spans="1:33" ht="11.25" customHeight="1" x14ac:dyDescent="0.3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24</v>
      </c>
      <c r="F100" s="3" t="s">
        <v>25</v>
      </c>
      <c r="G100" s="3" t="s">
        <v>25</v>
      </c>
      <c r="H100" s="3" t="s">
        <v>25</v>
      </c>
      <c r="I100" s="6">
        <v>44713</v>
      </c>
      <c r="J100" s="4">
        <v>0</v>
      </c>
      <c r="K100" s="4">
        <v>0</v>
      </c>
      <c r="L100" s="4">
        <v>476.57</v>
      </c>
      <c r="M100" s="4">
        <v>476.57</v>
      </c>
      <c r="N100" s="4">
        <v>476.57</v>
      </c>
      <c r="O100" s="4">
        <v>476.57</v>
      </c>
      <c r="P100" s="4">
        <v>2835</v>
      </c>
      <c r="Q100" s="3" t="s">
        <v>26</v>
      </c>
      <c r="R100" s="3">
        <v>0</v>
      </c>
      <c r="S100" s="4">
        <v>0</v>
      </c>
      <c r="T100" s="4">
        <v>18</v>
      </c>
      <c r="U100" s="4">
        <v>56</v>
      </c>
      <c r="V100" s="4">
        <f>IF(ISERROR(VLOOKUP($S$100,'TAR FIN'!$A$1:$O$88,15,0)),0,VLOOKUP($S$100,'TAR FIN'!$A$1:$O$88,15,0))</f>
        <v>0</v>
      </c>
      <c r="W100" s="4">
        <f>IF(ISERROR(VLOOKUP($T$100,'TAR FIN'!$A$1:$O$88,15,0)),0,VLOOKUP($T$100,'TAR FIN'!$A$1:$O$88,15,0))</f>
        <v>306.19</v>
      </c>
      <c r="X100" s="4">
        <f>IF(ISERROR(VLOOKUP($U$100,'TAR FIN'!$A$1:$O$88,15,0)),0,VLOOKUP($U$100,'TAR FIN'!$A$1:$O$88,15,0))</f>
        <v>242.35</v>
      </c>
      <c r="Y100" s="4"/>
      <c r="Z100" s="4">
        <f ca="1">('TUSD BE'!$AM$20+'TUSD BF'!$AM$20+'TUSD CVA'!$AM$20)*1</f>
        <v>448.02163143730991</v>
      </c>
      <c r="AA100" s="4">
        <f>('TE BE'!$AB$10+'TE BF'!$AB$10+'TE CVA'!$AB$10)*1</f>
        <v>191.00751406315655</v>
      </c>
      <c r="AB100" s="4">
        <f>$K$100*$V$100</f>
        <v>0</v>
      </c>
      <c r="AC100" s="4">
        <f>$M$100*$W$100</f>
        <v>145920.96830000001</v>
      </c>
      <c r="AD100" s="4">
        <f>$O$100*$X$100</f>
        <v>115496.7395</v>
      </c>
      <c r="AE100" s="4">
        <f>$K$100*$Y$100</f>
        <v>0</v>
      </c>
      <c r="AF100" s="4">
        <f ca="1">$M$100*$Z$100</f>
        <v>213513.66889407879</v>
      </c>
      <c r="AG100" s="4">
        <f>$O$100*$AA$100</f>
        <v>91028.450977078508</v>
      </c>
    </row>
    <row r="101" spans="1:33" ht="11.25" customHeight="1" x14ac:dyDescent="0.3">
      <c r="A101" s="3" t="s">
        <v>27</v>
      </c>
      <c r="B101" s="3" t="s">
        <v>22</v>
      </c>
      <c r="C101" s="3" t="s">
        <v>23</v>
      </c>
      <c r="D101" s="3" t="s">
        <v>24</v>
      </c>
      <c r="E101" s="3" t="s">
        <v>24</v>
      </c>
      <c r="F101" s="3" t="s">
        <v>25</v>
      </c>
      <c r="G101" s="3" t="s">
        <v>25</v>
      </c>
      <c r="H101" s="3" t="s">
        <v>25</v>
      </c>
      <c r="I101" s="6">
        <v>44713</v>
      </c>
      <c r="J101" s="4">
        <v>0</v>
      </c>
      <c r="K101" s="4">
        <v>0</v>
      </c>
      <c r="L101" s="4">
        <v>-7.0000000000000007E-2</v>
      </c>
      <c r="M101" s="4">
        <v>-7.0000000000000007E-2</v>
      </c>
      <c r="N101" s="4">
        <v>-7.0000000000000007E-2</v>
      </c>
      <c r="O101" s="4">
        <v>-7.0000000000000007E-2</v>
      </c>
      <c r="P101" s="4">
        <v>0</v>
      </c>
      <c r="Q101" s="3" t="s">
        <v>26</v>
      </c>
      <c r="R101" s="3">
        <v>0</v>
      </c>
      <c r="S101" s="4">
        <v>0</v>
      </c>
      <c r="T101" s="4">
        <v>18</v>
      </c>
      <c r="U101" s="4">
        <v>56</v>
      </c>
      <c r="V101" s="4">
        <f>IF(ISERROR(VLOOKUP($S$101,'TAR FIN'!$A$1:$O$88,15,0)),0,VLOOKUP($S$101,'TAR FIN'!$A$1:$O$88,15,0))</f>
        <v>0</v>
      </c>
      <c r="W101" s="4">
        <f>IF(ISERROR(VLOOKUP($T$101,'TAR FIN'!$A$1:$O$88,15,0)),0,VLOOKUP($T$101,'TAR FIN'!$A$1:$O$88,15,0))</f>
        <v>306.19</v>
      </c>
      <c r="X101" s="4">
        <f>IF(ISERROR(VLOOKUP($U$101,'TAR FIN'!$A$1:$O$88,15,0)),0,VLOOKUP($U$101,'TAR FIN'!$A$1:$O$88,15,0))</f>
        <v>242.35</v>
      </c>
      <c r="Y101" s="4"/>
      <c r="Z101" s="4">
        <f ca="1">('TUSD BE'!$AM$20+'TUSD BF'!$AM$20+'TUSD CVA'!$AM$20)*1</f>
        <v>448.02163143730991</v>
      </c>
      <c r="AA101" s="4">
        <f>('TE BE'!$AB$10+'TE BF'!$AB$10+'TE CVA'!$AB$10)*1</f>
        <v>191.00751406315655</v>
      </c>
      <c r="AB101" s="4">
        <f>$K$101*$V$101</f>
        <v>0</v>
      </c>
      <c r="AC101" s="4">
        <f>$M$101*$W$101</f>
        <v>-21.433300000000003</v>
      </c>
      <c r="AD101" s="4">
        <f>$O$101*$X$101</f>
        <v>-16.964500000000001</v>
      </c>
      <c r="AE101" s="4">
        <f>$K$101*$Y$101</f>
        <v>0</v>
      </c>
      <c r="AF101" s="4">
        <f ca="1">$M$101*$Z$101</f>
        <v>-31.361514200611698</v>
      </c>
      <c r="AG101" s="4">
        <f>$O$101*$AA$101</f>
        <v>-13.37052598442096</v>
      </c>
    </row>
    <row r="102" spans="1:33" ht="11.25" customHeight="1" x14ac:dyDescent="0.3">
      <c r="A102" s="3" t="s">
        <v>28</v>
      </c>
      <c r="B102" s="3" t="s">
        <v>22</v>
      </c>
      <c r="C102" s="3" t="s">
        <v>23</v>
      </c>
      <c r="D102" s="3" t="s">
        <v>24</v>
      </c>
      <c r="E102" s="3" t="s">
        <v>24</v>
      </c>
      <c r="F102" s="3" t="s">
        <v>25</v>
      </c>
      <c r="G102" s="3" t="s">
        <v>25</v>
      </c>
      <c r="H102" s="3" t="s">
        <v>25</v>
      </c>
      <c r="I102" s="6">
        <v>44713</v>
      </c>
      <c r="J102" s="4">
        <v>0</v>
      </c>
      <c r="K102" s="4">
        <v>0</v>
      </c>
      <c r="L102" s="4">
        <v>2.7589999999999999</v>
      </c>
      <c r="M102" s="4">
        <v>2.7589999999999999</v>
      </c>
      <c r="N102" s="4">
        <v>2.7589999999999999</v>
      </c>
      <c r="O102" s="4">
        <v>2.7589999999999999</v>
      </c>
      <c r="P102" s="4">
        <v>19</v>
      </c>
      <c r="Q102" s="3" t="s">
        <v>26</v>
      </c>
      <c r="R102" s="3">
        <v>0</v>
      </c>
      <c r="S102" s="4">
        <v>0</v>
      </c>
      <c r="T102" s="4">
        <v>18</v>
      </c>
      <c r="U102" s="4">
        <v>56</v>
      </c>
      <c r="V102" s="4">
        <f>IF(ISERROR(VLOOKUP($S$102,'TAR FIN'!$A$1:$O$88,15,0)),0,VLOOKUP($S$102,'TAR FIN'!$A$1:$O$88,15,0))</f>
        <v>0</v>
      </c>
      <c r="W102" s="4">
        <f>IF(ISERROR(VLOOKUP($T$102,'TAR FIN'!$A$1:$O$88,15,0)),0,VLOOKUP($T$102,'TAR FIN'!$A$1:$O$88,15,0))</f>
        <v>306.19</v>
      </c>
      <c r="X102" s="4">
        <f>IF(ISERROR(VLOOKUP($U$102,'TAR FIN'!$A$1:$O$88,15,0)),0,VLOOKUP($U$102,'TAR FIN'!$A$1:$O$88,15,0))</f>
        <v>242.35</v>
      </c>
      <c r="Y102" s="4"/>
      <c r="Z102" s="4">
        <f ca="1">('TUSD BE'!$AM$20+'TUSD BF'!$AM$20+'TUSD CVA'!$AM$20)*1</f>
        <v>448.02163143730991</v>
      </c>
      <c r="AA102" s="4">
        <f>('TE BE'!$AB$10+'TE BF'!$AB$10+'TE CVA'!$AB$10)*1</f>
        <v>191.00751406315655</v>
      </c>
      <c r="AB102" s="4">
        <f>$K$102*$V$102</f>
        <v>0</v>
      </c>
      <c r="AC102" s="4">
        <f>$M$102*$W$102</f>
        <v>844.77820999999994</v>
      </c>
      <c r="AD102" s="4">
        <f>$O$102*$X$102</f>
        <v>668.64364999999998</v>
      </c>
      <c r="AE102" s="4">
        <f>$K$102*$Y$102</f>
        <v>0</v>
      </c>
      <c r="AF102" s="4">
        <f ca="1">$M$102*$Z$102</f>
        <v>1236.091681135538</v>
      </c>
      <c r="AG102" s="4">
        <f>$O$102*$AA$102</f>
        <v>526.98973130024888</v>
      </c>
    </row>
    <row r="103" spans="1:33" ht="11.25" customHeight="1" x14ac:dyDescent="0.3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24</v>
      </c>
      <c r="F103" s="3" t="s">
        <v>25</v>
      </c>
      <c r="G103" s="3" t="s">
        <v>25</v>
      </c>
      <c r="H103" s="3" t="s">
        <v>25</v>
      </c>
      <c r="I103" s="6">
        <v>44743</v>
      </c>
      <c r="J103" s="4">
        <v>0</v>
      </c>
      <c r="K103" s="4">
        <v>0</v>
      </c>
      <c r="L103" s="4">
        <v>482.822</v>
      </c>
      <c r="M103" s="4">
        <v>482.822</v>
      </c>
      <c r="N103" s="4">
        <v>482.822</v>
      </c>
      <c r="O103" s="4">
        <v>482.822</v>
      </c>
      <c r="P103" s="4">
        <v>2843</v>
      </c>
      <c r="Q103" s="3" t="s">
        <v>26</v>
      </c>
      <c r="R103" s="3">
        <v>0</v>
      </c>
      <c r="S103" s="4">
        <v>0</v>
      </c>
      <c r="T103" s="4">
        <v>18</v>
      </c>
      <c r="U103" s="4">
        <v>56</v>
      </c>
      <c r="V103" s="4">
        <f>IF(ISERROR(VLOOKUP($S$103,'TAR FIN'!$A$1:$O$88,15,0)),0,VLOOKUP($S$103,'TAR FIN'!$A$1:$O$88,15,0))</f>
        <v>0</v>
      </c>
      <c r="W103" s="4">
        <f>IF(ISERROR(VLOOKUP($T$103,'TAR FIN'!$A$1:$O$88,15,0)),0,VLOOKUP($T$103,'TAR FIN'!$A$1:$O$88,15,0))</f>
        <v>306.19</v>
      </c>
      <c r="X103" s="4">
        <f>IF(ISERROR(VLOOKUP($U$103,'TAR FIN'!$A$1:$O$88,15,0)),0,VLOOKUP($U$103,'TAR FIN'!$A$1:$O$88,15,0))</f>
        <v>242.35</v>
      </c>
      <c r="Y103" s="4"/>
      <c r="Z103" s="4">
        <f ca="1">('TUSD BE'!$AM$20+'TUSD BF'!$AM$20+'TUSD CVA'!$AM$20)*1</f>
        <v>448.02163143730991</v>
      </c>
      <c r="AA103" s="4">
        <f>('TE BE'!$AB$10+'TE BF'!$AB$10+'TE CVA'!$AB$10)*1</f>
        <v>191.00751406315655</v>
      </c>
      <c r="AB103" s="4">
        <f>$K$103*$V$103</f>
        <v>0</v>
      </c>
      <c r="AC103" s="4">
        <f>$M$103*$W$103</f>
        <v>147835.26818000001</v>
      </c>
      <c r="AD103" s="4">
        <f>$O$103*$X$103</f>
        <v>117011.9117</v>
      </c>
      <c r="AE103" s="4">
        <f>$K$103*$Y$103</f>
        <v>0</v>
      </c>
      <c r="AF103" s="4">
        <f ca="1">$M$103*$Z$103</f>
        <v>216314.70013382484</v>
      </c>
      <c r="AG103" s="4">
        <f>$O$103*$AA$103</f>
        <v>92222.629955001365</v>
      </c>
    </row>
    <row r="104" spans="1:33" ht="11.25" customHeight="1" x14ac:dyDescent="0.3">
      <c r="A104" s="3" t="s">
        <v>28</v>
      </c>
      <c r="B104" s="3" t="s">
        <v>22</v>
      </c>
      <c r="C104" s="3" t="s">
        <v>23</v>
      </c>
      <c r="D104" s="3" t="s">
        <v>24</v>
      </c>
      <c r="E104" s="3" t="s">
        <v>24</v>
      </c>
      <c r="F104" s="3" t="s">
        <v>25</v>
      </c>
      <c r="G104" s="3" t="s">
        <v>25</v>
      </c>
      <c r="H104" s="3" t="s">
        <v>25</v>
      </c>
      <c r="I104" s="6">
        <v>44743</v>
      </c>
      <c r="J104" s="4">
        <v>0</v>
      </c>
      <c r="K104" s="4">
        <v>0</v>
      </c>
      <c r="L104" s="4">
        <v>3.181</v>
      </c>
      <c r="M104" s="4">
        <v>3.181</v>
      </c>
      <c r="N104" s="4">
        <v>3.181</v>
      </c>
      <c r="O104" s="4">
        <v>3.181</v>
      </c>
      <c r="P104" s="4">
        <v>20</v>
      </c>
      <c r="Q104" s="3" t="s">
        <v>26</v>
      </c>
      <c r="R104" s="3">
        <v>0</v>
      </c>
      <c r="S104" s="4">
        <v>0</v>
      </c>
      <c r="T104" s="4">
        <v>18</v>
      </c>
      <c r="U104" s="4">
        <v>56</v>
      </c>
      <c r="V104" s="4">
        <f>IF(ISERROR(VLOOKUP($S$104,'TAR FIN'!$A$1:$O$88,15,0)),0,VLOOKUP($S$104,'TAR FIN'!$A$1:$O$88,15,0))</f>
        <v>0</v>
      </c>
      <c r="W104" s="4">
        <f>IF(ISERROR(VLOOKUP($T$104,'TAR FIN'!$A$1:$O$88,15,0)),0,VLOOKUP($T$104,'TAR FIN'!$A$1:$O$88,15,0))</f>
        <v>306.19</v>
      </c>
      <c r="X104" s="4">
        <f>IF(ISERROR(VLOOKUP($U$104,'TAR FIN'!$A$1:$O$88,15,0)),0,VLOOKUP($U$104,'TAR FIN'!$A$1:$O$88,15,0))</f>
        <v>242.35</v>
      </c>
      <c r="Y104" s="4"/>
      <c r="Z104" s="4">
        <f ca="1">('TUSD BE'!$AM$20+'TUSD BF'!$AM$20+'TUSD CVA'!$AM$20)*1</f>
        <v>448.02163143730991</v>
      </c>
      <c r="AA104" s="4">
        <f>('TE BE'!$AB$10+'TE BF'!$AB$10+'TE CVA'!$AB$10)*1</f>
        <v>191.00751406315655</v>
      </c>
      <c r="AB104" s="4">
        <f>$K$104*$V$104</f>
        <v>0</v>
      </c>
      <c r="AC104" s="4">
        <f>$M$104*$W$104</f>
        <v>973.99039000000005</v>
      </c>
      <c r="AD104" s="4">
        <f>$O$104*$X$104</f>
        <v>770.91534999999999</v>
      </c>
      <c r="AE104" s="4">
        <f>$K$104*$Y$104</f>
        <v>0</v>
      </c>
      <c r="AF104" s="4">
        <f ca="1">$M$104*$Z$104</f>
        <v>1425.1568096020828</v>
      </c>
      <c r="AG104" s="4">
        <f>$O$104*$AA$104</f>
        <v>607.59490223490104</v>
      </c>
    </row>
    <row r="105" spans="1:33" ht="11.25" customHeight="1" x14ac:dyDescent="0.3">
      <c r="A105" s="3" t="s">
        <v>55</v>
      </c>
      <c r="B105" s="3" t="s">
        <v>22</v>
      </c>
      <c r="C105" s="3" t="s">
        <v>23</v>
      </c>
      <c r="D105" s="3" t="s">
        <v>24</v>
      </c>
      <c r="E105" s="3" t="s">
        <v>24</v>
      </c>
      <c r="F105" s="3" t="s">
        <v>25</v>
      </c>
      <c r="G105" s="3" t="s">
        <v>25</v>
      </c>
      <c r="H105" s="3" t="s">
        <v>25</v>
      </c>
      <c r="I105" s="6">
        <v>44774</v>
      </c>
      <c r="J105" s="4">
        <v>0</v>
      </c>
      <c r="K105" s="4">
        <v>0</v>
      </c>
      <c r="L105" s="4">
        <v>482.822</v>
      </c>
      <c r="M105" s="4">
        <v>482.822</v>
      </c>
      <c r="N105" s="4">
        <v>482.822</v>
      </c>
      <c r="O105" s="4">
        <v>482.822</v>
      </c>
      <c r="P105" s="4">
        <v>2843</v>
      </c>
      <c r="Q105" s="3" t="s">
        <v>26</v>
      </c>
      <c r="R105" s="3">
        <v>0</v>
      </c>
      <c r="S105" s="4">
        <v>0</v>
      </c>
      <c r="T105" s="4">
        <v>18</v>
      </c>
      <c r="U105" s="4">
        <v>56</v>
      </c>
      <c r="V105" s="4">
        <f>IF(ISERROR(VLOOKUP($S$105,'TAR FIN'!$A$1:$O$88,15,0)),0,VLOOKUP($S$105,'TAR FIN'!$A$1:$O$88,15,0))</f>
        <v>0</v>
      </c>
      <c r="W105" s="4">
        <f>IF(ISERROR(VLOOKUP($T$105,'TAR FIN'!$A$1:$O$88,15,0)),0,VLOOKUP($T$105,'TAR FIN'!$A$1:$O$88,15,0))</f>
        <v>306.19</v>
      </c>
      <c r="X105" s="4">
        <f>IF(ISERROR(VLOOKUP($U$105,'TAR FIN'!$A$1:$O$88,15,0)),0,VLOOKUP($U$105,'TAR FIN'!$A$1:$O$88,15,0))</f>
        <v>242.35</v>
      </c>
      <c r="Y105" s="4"/>
      <c r="Z105" s="4">
        <f ca="1">('TUSD BE'!$AM$20+'TUSD BF'!$AM$20+'TUSD CVA'!$AM$20)*1</f>
        <v>448.02163143730991</v>
      </c>
      <c r="AA105" s="4">
        <f>('TE BE'!$AB$10+'TE BF'!$AB$10+'TE CVA'!$AB$10)*1</f>
        <v>191.00751406315655</v>
      </c>
      <c r="AB105" s="4">
        <f>$K$105*$V$105</f>
        <v>0</v>
      </c>
      <c r="AC105" s="4">
        <f>$M$105*$W$105</f>
        <v>147835.26818000001</v>
      </c>
      <c r="AD105" s="4">
        <f>$O$105*$X$105</f>
        <v>117011.9117</v>
      </c>
      <c r="AE105" s="4">
        <f>$K$105*$Y$105</f>
        <v>0</v>
      </c>
      <c r="AF105" s="4">
        <f ca="1">$M$105*$Z$105</f>
        <v>216314.70013382484</v>
      </c>
      <c r="AG105" s="4">
        <f>$O$105*$AA$105</f>
        <v>92222.629955001365</v>
      </c>
    </row>
    <row r="106" spans="1:33" ht="11.25" customHeight="1" x14ac:dyDescent="0.3">
      <c r="A106" s="3" t="s">
        <v>55</v>
      </c>
      <c r="B106" s="3" t="s">
        <v>22</v>
      </c>
      <c r="C106" s="3" t="s">
        <v>23</v>
      </c>
      <c r="D106" s="3" t="s">
        <v>24</v>
      </c>
      <c r="E106" s="3" t="s">
        <v>24</v>
      </c>
      <c r="F106" s="3" t="s">
        <v>25</v>
      </c>
      <c r="G106" s="3" t="s">
        <v>25</v>
      </c>
      <c r="H106" s="3" t="s">
        <v>25</v>
      </c>
      <c r="I106" s="6">
        <v>44774</v>
      </c>
      <c r="J106" s="4">
        <v>0</v>
      </c>
      <c r="K106" s="4">
        <v>0</v>
      </c>
      <c r="L106" s="4">
        <v>3.181</v>
      </c>
      <c r="M106" s="4">
        <v>3.181</v>
      </c>
      <c r="N106" s="4">
        <v>3.181</v>
      </c>
      <c r="O106" s="4">
        <v>3.181</v>
      </c>
      <c r="P106" s="4">
        <v>20</v>
      </c>
      <c r="Q106" s="3" t="s">
        <v>26</v>
      </c>
      <c r="R106" s="3">
        <v>0</v>
      </c>
      <c r="S106" s="4">
        <v>0</v>
      </c>
      <c r="T106" s="4">
        <v>18</v>
      </c>
      <c r="U106" s="4">
        <v>56</v>
      </c>
      <c r="V106" s="4">
        <f>IF(ISERROR(VLOOKUP($S$106,'TAR FIN'!$A$1:$O$88,15,0)),0,VLOOKUP($S$106,'TAR FIN'!$A$1:$O$88,15,0))</f>
        <v>0</v>
      </c>
      <c r="W106" s="4">
        <f>IF(ISERROR(VLOOKUP($T$106,'TAR FIN'!$A$1:$O$88,15,0)),0,VLOOKUP($T$106,'TAR FIN'!$A$1:$O$88,15,0))</f>
        <v>306.19</v>
      </c>
      <c r="X106" s="4">
        <f>IF(ISERROR(VLOOKUP($U$106,'TAR FIN'!$A$1:$O$88,15,0)),0,VLOOKUP($U$106,'TAR FIN'!$A$1:$O$88,15,0))</f>
        <v>242.35</v>
      </c>
      <c r="Y106" s="4"/>
      <c r="Z106" s="4">
        <f ca="1">('TUSD BE'!$AM$20+'TUSD BF'!$AM$20+'TUSD CVA'!$AM$20)*1</f>
        <v>448.02163143730991</v>
      </c>
      <c r="AA106" s="4">
        <f>('TE BE'!$AB$10+'TE BF'!$AB$10+'TE CVA'!$AB$10)*1</f>
        <v>191.00751406315655</v>
      </c>
      <c r="AB106" s="4">
        <f>$K$106*$V$106</f>
        <v>0</v>
      </c>
      <c r="AC106" s="4">
        <f>$M$106*$W$106</f>
        <v>973.99039000000005</v>
      </c>
      <c r="AD106" s="4">
        <f>$O$106*$X$106</f>
        <v>770.91534999999999</v>
      </c>
      <c r="AE106" s="4">
        <f>$K$106*$Y$106</f>
        <v>0</v>
      </c>
      <c r="AF106" s="4">
        <f ca="1">$M$106*$Z$106</f>
        <v>1425.1568096020828</v>
      </c>
      <c r="AG106" s="4">
        <f>$O$106*$AA$106</f>
        <v>607.59490223490104</v>
      </c>
    </row>
    <row r="107" spans="1:33" ht="11.25" customHeight="1" x14ac:dyDescent="0.3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29</v>
      </c>
      <c r="F107" s="3" t="s">
        <v>25</v>
      </c>
      <c r="G107" s="3" t="s">
        <v>25</v>
      </c>
      <c r="H107" s="3" t="s">
        <v>25</v>
      </c>
      <c r="I107" s="6">
        <v>44440</v>
      </c>
      <c r="J107" s="4">
        <v>0</v>
      </c>
      <c r="K107" s="4">
        <v>0</v>
      </c>
      <c r="L107" s="4">
        <v>4.9800000000000004</v>
      </c>
      <c r="M107" s="4">
        <v>4.9800000000000004</v>
      </c>
      <c r="N107" s="4">
        <v>4.9800000000000004</v>
      </c>
      <c r="O107" s="4">
        <v>4.9800000000000004</v>
      </c>
      <c r="P107" s="4">
        <v>6</v>
      </c>
      <c r="Q107" s="3" t="s">
        <v>26</v>
      </c>
      <c r="R107" s="3">
        <v>0</v>
      </c>
      <c r="S107" s="4">
        <v>0</v>
      </c>
      <c r="T107" s="4">
        <v>19</v>
      </c>
      <c r="U107" s="4">
        <v>57</v>
      </c>
      <c r="V107" s="4">
        <f>IF(ISERROR(VLOOKUP($S$107,'TAR FIN'!$A$1:$O$88,15,0)),0,VLOOKUP($S$107,'TAR FIN'!$A$1:$O$88,15,0))</f>
        <v>0</v>
      </c>
      <c r="W107" s="4">
        <f>IF(ISERROR(VLOOKUP($T$107,'TAR FIN'!$A$1:$O$88,15,0)),0,VLOOKUP($T$107,'TAR FIN'!$A$1:$O$88,15,0))</f>
        <v>83.46</v>
      </c>
      <c r="X107" s="4">
        <f>IF(ISERROR(VLOOKUP($U$107,'TAR FIN'!$A$1:$O$88,15,0)),0,VLOOKUP($U$107,'TAR FIN'!$A$1:$O$88,15,0))</f>
        <v>84.82</v>
      </c>
      <c r="Y107" s="4"/>
      <c r="Z107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07" s="4">
        <f>('TE BE'!$AB$11+'TE BF'!$AB$11+'TE CVA'!$AB$11)*(1-CUSTOS!$M$34)</f>
        <v>66.852629922104782</v>
      </c>
      <c r="AB107" s="4">
        <f>$K$107*$V$107</f>
        <v>0</v>
      </c>
      <c r="AC107" s="4">
        <f>$M$107*$W$107</f>
        <v>415.63080000000002</v>
      </c>
      <c r="AD107" s="4">
        <f>$O$107*$X$107</f>
        <v>422.40359999999998</v>
      </c>
      <c r="AE107" s="4">
        <f>$K$107*$Y$107</f>
        <v>0</v>
      </c>
      <c r="AF107" s="4">
        <f ca="1">$M$107*$Z$107</f>
        <v>604.68820424830778</v>
      </c>
      <c r="AG107" s="4">
        <f>$O$107*$AA$107</f>
        <v>332.92609701208187</v>
      </c>
    </row>
    <row r="108" spans="1:33" ht="11.25" customHeight="1" x14ac:dyDescent="0.3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29</v>
      </c>
      <c r="F108" s="3" t="s">
        <v>25</v>
      </c>
      <c r="G108" s="3" t="s">
        <v>25</v>
      </c>
      <c r="H108" s="3" t="s">
        <v>25</v>
      </c>
      <c r="I108" s="6">
        <v>44470</v>
      </c>
      <c r="J108" s="4">
        <v>0</v>
      </c>
      <c r="K108" s="4">
        <v>0</v>
      </c>
      <c r="L108" s="4">
        <v>5.16</v>
      </c>
      <c r="M108" s="4">
        <v>5.16</v>
      </c>
      <c r="N108" s="4">
        <v>5.16</v>
      </c>
      <c r="O108" s="4">
        <v>5.16</v>
      </c>
      <c r="P108" s="4">
        <v>7</v>
      </c>
      <c r="Q108" s="3" t="s">
        <v>26</v>
      </c>
      <c r="R108" s="3">
        <v>0</v>
      </c>
      <c r="S108" s="4">
        <v>0</v>
      </c>
      <c r="T108" s="4">
        <v>19</v>
      </c>
      <c r="U108" s="4">
        <v>57</v>
      </c>
      <c r="V108" s="4">
        <f>IF(ISERROR(VLOOKUP($S$108,'TAR FIN'!$A$1:$O$88,15,0)),0,VLOOKUP($S$108,'TAR FIN'!$A$1:$O$88,15,0))</f>
        <v>0</v>
      </c>
      <c r="W108" s="4">
        <f>IF(ISERROR(VLOOKUP($T$108,'TAR FIN'!$A$1:$O$88,15,0)),0,VLOOKUP($T$108,'TAR FIN'!$A$1:$O$88,15,0))</f>
        <v>83.46</v>
      </c>
      <c r="X108" s="4">
        <f>IF(ISERROR(VLOOKUP($U$108,'TAR FIN'!$A$1:$O$88,15,0)),0,VLOOKUP($U$108,'TAR FIN'!$A$1:$O$88,15,0))</f>
        <v>84.82</v>
      </c>
      <c r="Y108" s="4"/>
      <c r="Z108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08" s="4">
        <f>('TE BE'!$AB$11+'TE BF'!$AB$11+'TE CVA'!$AB$11)*(1-CUSTOS!$M$34)</f>
        <v>66.852629922104782</v>
      </c>
      <c r="AB108" s="4">
        <f>$K$108*$V$108</f>
        <v>0</v>
      </c>
      <c r="AC108" s="4">
        <f>$M$108*$W$108</f>
        <v>430.65359999999998</v>
      </c>
      <c r="AD108" s="4">
        <f>$O$108*$X$108</f>
        <v>437.6712</v>
      </c>
      <c r="AE108" s="4">
        <f>$K$108*$Y$108</f>
        <v>0</v>
      </c>
      <c r="AF108" s="4">
        <f ca="1">$M$108*$Z$108</f>
        <v>626.54440440186102</v>
      </c>
      <c r="AG108" s="4">
        <f>$O$108*$AA$108</f>
        <v>344.95957039806069</v>
      </c>
    </row>
    <row r="109" spans="1:33" ht="11.25" customHeight="1" x14ac:dyDescent="0.3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29</v>
      </c>
      <c r="F109" s="3" t="s">
        <v>25</v>
      </c>
      <c r="G109" s="3" t="s">
        <v>25</v>
      </c>
      <c r="H109" s="3" t="s">
        <v>25</v>
      </c>
      <c r="I109" s="6">
        <v>44501</v>
      </c>
      <c r="J109" s="4">
        <v>0</v>
      </c>
      <c r="K109" s="4">
        <v>0</v>
      </c>
      <c r="L109" s="4">
        <v>5.34</v>
      </c>
      <c r="M109" s="4">
        <v>5.34</v>
      </c>
      <c r="N109" s="4">
        <v>5.34</v>
      </c>
      <c r="O109" s="4">
        <v>5.34</v>
      </c>
      <c r="P109" s="4">
        <v>9</v>
      </c>
      <c r="Q109" s="3" t="s">
        <v>26</v>
      </c>
      <c r="R109" s="3">
        <v>0</v>
      </c>
      <c r="S109" s="4">
        <v>0</v>
      </c>
      <c r="T109" s="4">
        <v>19</v>
      </c>
      <c r="U109" s="4">
        <v>57</v>
      </c>
      <c r="V109" s="4">
        <f>IF(ISERROR(VLOOKUP($S$109,'TAR FIN'!$A$1:$O$88,15,0)),0,VLOOKUP($S$109,'TAR FIN'!$A$1:$O$88,15,0))</f>
        <v>0</v>
      </c>
      <c r="W109" s="4">
        <f>IF(ISERROR(VLOOKUP($T$109,'TAR FIN'!$A$1:$O$88,15,0)),0,VLOOKUP($T$109,'TAR FIN'!$A$1:$O$88,15,0))</f>
        <v>83.46</v>
      </c>
      <c r="X109" s="4">
        <f>IF(ISERROR(VLOOKUP($U$109,'TAR FIN'!$A$1:$O$88,15,0)),0,VLOOKUP($U$109,'TAR FIN'!$A$1:$O$88,15,0))</f>
        <v>84.82</v>
      </c>
      <c r="Y109" s="4"/>
      <c r="Z109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09" s="4">
        <f>('TE BE'!$AB$11+'TE BF'!$AB$11+'TE CVA'!$AB$11)*(1-CUSTOS!$M$34)</f>
        <v>66.852629922104782</v>
      </c>
      <c r="AB109" s="4">
        <f>$K$109*$V$109</f>
        <v>0</v>
      </c>
      <c r="AC109" s="4">
        <f>$M$109*$W$109</f>
        <v>445.67639999999994</v>
      </c>
      <c r="AD109" s="4">
        <f>$O$109*$X$109</f>
        <v>452.93879999999996</v>
      </c>
      <c r="AE109" s="4">
        <f>$K$109*$Y$109</f>
        <v>0</v>
      </c>
      <c r="AF109" s="4">
        <f ca="1">$M$109*$Z$109</f>
        <v>648.40060455541425</v>
      </c>
      <c r="AG109" s="4">
        <f>$O$109*$AA$109</f>
        <v>356.99304378403951</v>
      </c>
    </row>
    <row r="110" spans="1:33" ht="11.25" customHeight="1" x14ac:dyDescent="0.3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29</v>
      </c>
      <c r="F110" s="3" t="s">
        <v>25</v>
      </c>
      <c r="G110" s="3" t="s">
        <v>25</v>
      </c>
      <c r="H110" s="3" t="s">
        <v>25</v>
      </c>
      <c r="I110" s="6">
        <v>44531</v>
      </c>
      <c r="J110" s="4">
        <v>0</v>
      </c>
      <c r="K110" s="4">
        <v>0</v>
      </c>
      <c r="L110" s="4">
        <v>5.37</v>
      </c>
      <c r="M110" s="4">
        <v>5.37</v>
      </c>
      <c r="N110" s="4">
        <v>5.37</v>
      </c>
      <c r="O110" s="4">
        <v>5.37</v>
      </c>
      <c r="P110" s="4">
        <v>8</v>
      </c>
      <c r="Q110" s="3" t="s">
        <v>26</v>
      </c>
      <c r="R110" s="3">
        <v>0</v>
      </c>
      <c r="S110" s="4">
        <v>0</v>
      </c>
      <c r="T110" s="4">
        <v>19</v>
      </c>
      <c r="U110" s="4">
        <v>57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83.46</v>
      </c>
      <c r="X110" s="4">
        <f>IF(ISERROR(VLOOKUP($U$110,'TAR FIN'!$A$1:$O$88,15,0)),0,VLOOKUP($U$110,'TAR FIN'!$A$1:$O$88,15,0))</f>
        <v>84.82</v>
      </c>
      <c r="Y110" s="4"/>
      <c r="Z110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0" s="4">
        <f>('TE BE'!$AB$11+'TE BF'!$AB$11+'TE CVA'!$AB$11)*(1-CUSTOS!$M$34)</f>
        <v>66.852629922104782</v>
      </c>
      <c r="AB110" s="4">
        <f>$K$110*$V$110</f>
        <v>0</v>
      </c>
      <c r="AC110" s="4">
        <f>$M$110*$W$110</f>
        <v>448.18019999999996</v>
      </c>
      <c r="AD110" s="4">
        <f>$O$110*$X$110</f>
        <v>455.48339999999996</v>
      </c>
      <c r="AE110" s="4">
        <f>$K$110*$Y$110</f>
        <v>0</v>
      </c>
      <c r="AF110" s="4">
        <f ca="1">$M$110*$Z$110</f>
        <v>652.04330458100651</v>
      </c>
      <c r="AG110" s="4">
        <f>$O$110*$AA$110</f>
        <v>358.99862268170267</v>
      </c>
    </row>
    <row r="111" spans="1:33" ht="11.25" customHeight="1" x14ac:dyDescent="0.3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29</v>
      </c>
      <c r="F111" s="3" t="s">
        <v>25</v>
      </c>
      <c r="G111" s="3" t="s">
        <v>25</v>
      </c>
      <c r="H111" s="3" t="s">
        <v>25</v>
      </c>
      <c r="I111" s="6">
        <v>44562</v>
      </c>
      <c r="J111" s="4">
        <v>0</v>
      </c>
      <c r="K111" s="4">
        <v>0</v>
      </c>
      <c r="L111" s="4">
        <v>5.52</v>
      </c>
      <c r="M111" s="4">
        <v>5.52</v>
      </c>
      <c r="N111" s="4">
        <v>5.52</v>
      </c>
      <c r="O111" s="4">
        <v>5.52</v>
      </c>
      <c r="P111" s="4">
        <v>6</v>
      </c>
      <c r="Q111" s="3" t="s">
        <v>26</v>
      </c>
      <c r="R111" s="3">
        <v>0</v>
      </c>
      <c r="S111" s="4">
        <v>0</v>
      </c>
      <c r="T111" s="4">
        <v>19</v>
      </c>
      <c r="U111" s="4">
        <v>57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83.46</v>
      </c>
      <c r="X111" s="4">
        <f>IF(ISERROR(VLOOKUP($U$111,'TAR FIN'!$A$1:$O$88,15,0)),0,VLOOKUP($U$111,'TAR FIN'!$A$1:$O$88,15,0))</f>
        <v>84.82</v>
      </c>
      <c r="Y111" s="4"/>
      <c r="Z111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1" s="4">
        <f>('TE BE'!$AB$11+'TE BF'!$AB$11+'TE CVA'!$AB$11)*(1-CUSTOS!$M$34)</f>
        <v>66.852629922104782</v>
      </c>
      <c r="AB111" s="4">
        <f>$K$111*$V$111</f>
        <v>0</v>
      </c>
      <c r="AC111" s="4">
        <f>$M$111*$W$111</f>
        <v>460.69919999999991</v>
      </c>
      <c r="AD111" s="4">
        <f>$O$111*$X$111</f>
        <v>468.20639999999992</v>
      </c>
      <c r="AE111" s="4">
        <f>$K$111*$Y$111</f>
        <v>0</v>
      </c>
      <c r="AF111" s="4">
        <f ca="1">$M$111*$Z$111</f>
        <v>670.25680470896759</v>
      </c>
      <c r="AG111" s="4">
        <f>$O$111*$AA$111</f>
        <v>369.02651717001839</v>
      </c>
    </row>
    <row r="112" spans="1:33" ht="11.25" customHeight="1" x14ac:dyDescent="0.3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29</v>
      </c>
      <c r="F112" s="3" t="s">
        <v>25</v>
      </c>
      <c r="G112" s="3" t="s">
        <v>25</v>
      </c>
      <c r="H112" s="3" t="s">
        <v>25</v>
      </c>
      <c r="I112" s="6">
        <v>44593</v>
      </c>
      <c r="J112" s="4">
        <v>0</v>
      </c>
      <c r="K112" s="4">
        <v>0</v>
      </c>
      <c r="L112" s="4">
        <v>5.76</v>
      </c>
      <c r="M112" s="4">
        <v>5.76</v>
      </c>
      <c r="N112" s="4">
        <v>5.76</v>
      </c>
      <c r="O112" s="4">
        <v>5.76</v>
      </c>
      <c r="P112" s="4">
        <v>9</v>
      </c>
      <c r="Q112" s="3" t="s">
        <v>26</v>
      </c>
      <c r="R112" s="3">
        <v>0</v>
      </c>
      <c r="S112" s="4">
        <v>0</v>
      </c>
      <c r="T112" s="4">
        <v>19</v>
      </c>
      <c r="U112" s="4">
        <v>57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83.46</v>
      </c>
      <c r="X112" s="4">
        <f>IF(ISERROR(VLOOKUP($U$112,'TAR FIN'!$A$1:$O$88,15,0)),0,VLOOKUP($U$112,'TAR FIN'!$A$1:$O$88,15,0))</f>
        <v>84.82</v>
      </c>
      <c r="Y112" s="4"/>
      <c r="Z112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2" s="4">
        <f>('TE BE'!$AB$11+'TE BF'!$AB$11+'TE CVA'!$AB$11)*(1-CUSTOS!$M$34)</f>
        <v>66.852629922104782</v>
      </c>
      <c r="AB112" s="4">
        <f>$K$112*$V$112</f>
        <v>0</v>
      </c>
      <c r="AC112" s="4">
        <f>$M$112*$W$112</f>
        <v>480.72959999999995</v>
      </c>
      <c r="AD112" s="4">
        <f>$O$112*$X$112</f>
        <v>488.56319999999994</v>
      </c>
      <c r="AE112" s="4">
        <f>$K$112*$Y$112</f>
        <v>0</v>
      </c>
      <c r="AF112" s="4">
        <f ca="1">$M$112*$Z$112</f>
        <v>699.39840491370535</v>
      </c>
      <c r="AG112" s="4">
        <f>$O$112*$AA$112</f>
        <v>385.07114835132353</v>
      </c>
    </row>
    <row r="113" spans="1:33" ht="11.25" customHeight="1" x14ac:dyDescent="0.3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29</v>
      </c>
      <c r="F113" s="3" t="s">
        <v>25</v>
      </c>
      <c r="G113" s="3" t="s">
        <v>25</v>
      </c>
      <c r="H113" s="3" t="s">
        <v>25</v>
      </c>
      <c r="I113" s="6">
        <v>44621</v>
      </c>
      <c r="J113" s="4">
        <v>0</v>
      </c>
      <c r="K113" s="4">
        <v>0</v>
      </c>
      <c r="L113" s="4">
        <v>7.2</v>
      </c>
      <c r="M113" s="4">
        <v>7.2</v>
      </c>
      <c r="N113" s="4">
        <v>7.2</v>
      </c>
      <c r="O113" s="4">
        <v>7.2</v>
      </c>
      <c r="P113" s="4">
        <v>12</v>
      </c>
      <c r="Q113" s="3" t="s">
        <v>26</v>
      </c>
      <c r="R113" s="3">
        <v>0</v>
      </c>
      <c r="S113" s="4">
        <v>0</v>
      </c>
      <c r="T113" s="4">
        <v>19</v>
      </c>
      <c r="U113" s="4">
        <v>57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83.46</v>
      </c>
      <c r="X113" s="4">
        <f>IF(ISERROR(VLOOKUP($U$113,'TAR FIN'!$A$1:$O$88,15,0)),0,VLOOKUP($U$113,'TAR FIN'!$A$1:$O$88,15,0))</f>
        <v>84.82</v>
      </c>
      <c r="Y113" s="4"/>
      <c r="Z113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3" s="4">
        <f>('TE BE'!$AB$11+'TE BF'!$AB$11+'TE CVA'!$AB$11)*(1-CUSTOS!$M$34)</f>
        <v>66.852629922104782</v>
      </c>
      <c r="AB113" s="4">
        <f>$K$113*$V$113</f>
        <v>0</v>
      </c>
      <c r="AC113" s="4">
        <f>$M$113*$W$113</f>
        <v>600.91199999999992</v>
      </c>
      <c r="AD113" s="4">
        <f>$O$113*$X$113</f>
        <v>610.70399999999995</v>
      </c>
      <c r="AE113" s="4">
        <f>$K$113*$Y$113</f>
        <v>0</v>
      </c>
      <c r="AF113" s="4">
        <f ca="1">$M$113*$Z$113</f>
        <v>874.24800614213166</v>
      </c>
      <c r="AG113" s="4">
        <f>$O$113*$AA$113</f>
        <v>481.33893543915445</v>
      </c>
    </row>
    <row r="114" spans="1:33" ht="11.25" customHeight="1" x14ac:dyDescent="0.3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29</v>
      </c>
      <c r="F114" s="3" t="s">
        <v>25</v>
      </c>
      <c r="G114" s="3" t="s">
        <v>25</v>
      </c>
      <c r="H114" s="3" t="s">
        <v>25</v>
      </c>
      <c r="I114" s="6">
        <v>44652</v>
      </c>
      <c r="J114" s="4">
        <v>0</v>
      </c>
      <c r="K114" s="4">
        <v>0</v>
      </c>
      <c r="L114" s="4">
        <v>7.5</v>
      </c>
      <c r="M114" s="4">
        <v>7.5</v>
      </c>
      <c r="N114" s="4">
        <v>7.5</v>
      </c>
      <c r="O114" s="4">
        <v>7.5</v>
      </c>
      <c r="P114" s="4">
        <v>11</v>
      </c>
      <c r="Q114" s="3" t="s">
        <v>26</v>
      </c>
      <c r="R114" s="3">
        <v>0</v>
      </c>
      <c r="S114" s="4">
        <v>0</v>
      </c>
      <c r="T114" s="4">
        <v>19</v>
      </c>
      <c r="U114" s="4">
        <v>57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83.46</v>
      </c>
      <c r="X114" s="4">
        <f>IF(ISERROR(VLOOKUP($U$114,'TAR FIN'!$A$1:$O$88,15,0)),0,VLOOKUP($U$114,'TAR FIN'!$A$1:$O$88,15,0))</f>
        <v>84.82</v>
      </c>
      <c r="Y114" s="4"/>
      <c r="Z114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4" s="4">
        <f>('TE BE'!$AB$11+'TE BF'!$AB$11+'TE CVA'!$AB$11)*(1-CUSTOS!$M$34)</f>
        <v>66.852629922104782</v>
      </c>
      <c r="AB114" s="4">
        <f>$K$114*$V$114</f>
        <v>0</v>
      </c>
      <c r="AC114" s="4">
        <f>$M$114*$W$114</f>
        <v>625.94999999999993</v>
      </c>
      <c r="AD114" s="4">
        <f>$O$114*$X$114</f>
        <v>636.15</v>
      </c>
      <c r="AE114" s="4">
        <f>$K$114*$Y$114</f>
        <v>0</v>
      </c>
      <c r="AF114" s="4">
        <f ca="1">$M$114*$Z$114</f>
        <v>910.67500639805382</v>
      </c>
      <c r="AG114" s="4">
        <f>$O$114*$AA$114</f>
        <v>501.39472441578584</v>
      </c>
    </row>
    <row r="115" spans="1:33" ht="11.25" customHeight="1" x14ac:dyDescent="0.3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29</v>
      </c>
      <c r="F115" s="3" t="s">
        <v>25</v>
      </c>
      <c r="G115" s="3" t="s">
        <v>25</v>
      </c>
      <c r="H115" s="3" t="s">
        <v>25</v>
      </c>
      <c r="I115" s="6">
        <v>44682</v>
      </c>
      <c r="J115" s="4">
        <v>0</v>
      </c>
      <c r="K115" s="4">
        <v>0</v>
      </c>
      <c r="L115" s="4">
        <v>8.2799999999999994</v>
      </c>
      <c r="M115" s="4">
        <v>8.2799999999999994</v>
      </c>
      <c r="N115" s="4">
        <v>8.2799999999999994</v>
      </c>
      <c r="O115" s="4">
        <v>8.2799999999999994</v>
      </c>
      <c r="P115" s="4">
        <v>13</v>
      </c>
      <c r="Q115" s="3" t="s">
        <v>26</v>
      </c>
      <c r="R115" s="3">
        <v>0</v>
      </c>
      <c r="S115" s="4">
        <v>0</v>
      </c>
      <c r="T115" s="4">
        <v>19</v>
      </c>
      <c r="U115" s="4">
        <v>57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83.46</v>
      </c>
      <c r="X115" s="4">
        <f>IF(ISERROR(VLOOKUP($U$115,'TAR FIN'!$A$1:$O$88,15,0)),0,VLOOKUP($U$115,'TAR FIN'!$A$1:$O$88,15,0))</f>
        <v>84.82</v>
      </c>
      <c r="Y115" s="4"/>
      <c r="Z115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5" s="4">
        <f>('TE BE'!$AB$11+'TE BF'!$AB$11+'TE CVA'!$AB$11)*(1-CUSTOS!$M$34)</f>
        <v>66.852629922104782</v>
      </c>
      <c r="AB115" s="4">
        <f>$K$115*$V$115</f>
        <v>0</v>
      </c>
      <c r="AC115" s="4">
        <f>$M$115*$W$115</f>
        <v>691.04879999999991</v>
      </c>
      <c r="AD115" s="4">
        <f>$O$115*$X$115</f>
        <v>702.30959999999993</v>
      </c>
      <c r="AE115" s="4">
        <f>$K$115*$Y$115</f>
        <v>0</v>
      </c>
      <c r="AF115" s="4">
        <f ca="1">$M$115*$Z$115</f>
        <v>1005.3852070634513</v>
      </c>
      <c r="AG115" s="4">
        <f>$O$115*$AA$115</f>
        <v>553.53977575502756</v>
      </c>
    </row>
    <row r="116" spans="1:33" ht="11.25" customHeight="1" x14ac:dyDescent="0.3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29</v>
      </c>
      <c r="F116" s="3" t="s">
        <v>25</v>
      </c>
      <c r="G116" s="3" t="s">
        <v>25</v>
      </c>
      <c r="H116" s="3" t="s">
        <v>25</v>
      </c>
      <c r="I116" s="6">
        <v>44713</v>
      </c>
      <c r="J116" s="4">
        <v>0</v>
      </c>
      <c r="K116" s="4">
        <v>0</v>
      </c>
      <c r="L116" s="4">
        <v>7.7990000000000004</v>
      </c>
      <c r="M116" s="4">
        <v>7.7990000000000004</v>
      </c>
      <c r="N116" s="4">
        <v>7.7990000000000004</v>
      </c>
      <c r="O116" s="4">
        <v>7.7990000000000004</v>
      </c>
      <c r="P116" s="4">
        <v>12</v>
      </c>
      <c r="Q116" s="3" t="s">
        <v>26</v>
      </c>
      <c r="R116" s="3">
        <v>0</v>
      </c>
      <c r="S116" s="4">
        <v>0</v>
      </c>
      <c r="T116" s="4">
        <v>19</v>
      </c>
      <c r="U116" s="4">
        <v>57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83.46</v>
      </c>
      <c r="X116" s="4">
        <f>IF(ISERROR(VLOOKUP($U$116,'TAR FIN'!$A$1:$O$88,15,0)),0,VLOOKUP($U$116,'TAR FIN'!$A$1:$O$88,15,0))</f>
        <v>84.82</v>
      </c>
      <c r="Y116" s="4"/>
      <c r="Z116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6" s="4">
        <f>('TE BE'!$AB$11+'TE BF'!$AB$11+'TE CVA'!$AB$11)*(1-CUSTOS!$M$34)</f>
        <v>66.852629922104782</v>
      </c>
      <c r="AB116" s="4">
        <f>$K$116*$V$116</f>
        <v>0</v>
      </c>
      <c r="AC116" s="4">
        <f>$M$116*$W$116</f>
        <v>650.90454</v>
      </c>
      <c r="AD116" s="4">
        <f>$O$116*$X$116</f>
        <v>661.51117999999997</v>
      </c>
      <c r="AE116" s="4">
        <f>$K$116*$Y$116</f>
        <v>0</v>
      </c>
      <c r="AF116" s="4">
        <f ca="1">$M$116*$Z$116</f>
        <v>946.98058331978962</v>
      </c>
      <c r="AG116" s="4">
        <f>$O$116*$AA$116</f>
        <v>521.3836607624952</v>
      </c>
    </row>
    <row r="117" spans="1:33" ht="11.25" customHeight="1" x14ac:dyDescent="0.3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29</v>
      </c>
      <c r="F117" s="3" t="s">
        <v>25</v>
      </c>
      <c r="G117" s="3" t="s">
        <v>25</v>
      </c>
      <c r="H117" s="3" t="s">
        <v>25</v>
      </c>
      <c r="I117" s="6">
        <v>44743</v>
      </c>
      <c r="J117" s="4">
        <v>0</v>
      </c>
      <c r="K117" s="4">
        <v>0</v>
      </c>
      <c r="L117" s="4">
        <v>7.86</v>
      </c>
      <c r="M117" s="4">
        <v>7.86</v>
      </c>
      <c r="N117" s="4">
        <v>7.86</v>
      </c>
      <c r="O117" s="4">
        <v>7.86</v>
      </c>
      <c r="P117" s="4">
        <v>14</v>
      </c>
      <c r="Q117" s="3" t="s">
        <v>26</v>
      </c>
      <c r="R117" s="3">
        <v>0</v>
      </c>
      <c r="S117" s="4">
        <v>0</v>
      </c>
      <c r="T117" s="4">
        <v>19</v>
      </c>
      <c r="U117" s="4">
        <v>57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83.46</v>
      </c>
      <c r="X117" s="4">
        <f>IF(ISERROR(VLOOKUP($U$117,'TAR FIN'!$A$1:$O$88,15,0)),0,VLOOKUP($U$117,'TAR FIN'!$A$1:$O$88,15,0))</f>
        <v>84.82</v>
      </c>
      <c r="Y117" s="4"/>
      <c r="Z117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7" s="4">
        <f>('TE BE'!$AB$11+'TE BF'!$AB$11+'TE CVA'!$AB$11)*(1-CUSTOS!$M$34)</f>
        <v>66.852629922104782</v>
      </c>
      <c r="AB117" s="4">
        <f>$K$117*$V$117</f>
        <v>0</v>
      </c>
      <c r="AC117" s="4">
        <f>$M$117*$W$117</f>
        <v>655.99559999999997</v>
      </c>
      <c r="AD117" s="4">
        <f>$O$117*$X$117</f>
        <v>666.68520000000001</v>
      </c>
      <c r="AE117" s="4">
        <f>$K$117*$Y$117</f>
        <v>0</v>
      </c>
      <c r="AF117" s="4">
        <f ca="1">$M$117*$Z$117</f>
        <v>954.3874067051604</v>
      </c>
      <c r="AG117" s="4">
        <f>$O$117*$AA$117</f>
        <v>525.4616711877436</v>
      </c>
    </row>
    <row r="118" spans="1:33" ht="11.25" customHeight="1" x14ac:dyDescent="0.3">
      <c r="A118" s="3" t="s">
        <v>55</v>
      </c>
      <c r="B118" s="3" t="s">
        <v>22</v>
      </c>
      <c r="C118" s="3" t="s">
        <v>23</v>
      </c>
      <c r="D118" s="3" t="s">
        <v>24</v>
      </c>
      <c r="E118" s="3" t="s">
        <v>29</v>
      </c>
      <c r="F118" s="3" t="s">
        <v>25</v>
      </c>
      <c r="G118" s="3" t="s">
        <v>25</v>
      </c>
      <c r="H118" s="3" t="s">
        <v>25</v>
      </c>
      <c r="I118" s="6">
        <v>44774</v>
      </c>
      <c r="J118" s="4">
        <v>0</v>
      </c>
      <c r="K118" s="4">
        <v>0</v>
      </c>
      <c r="L118" s="4">
        <v>7.86</v>
      </c>
      <c r="M118" s="4">
        <v>7.86</v>
      </c>
      <c r="N118" s="4">
        <v>7.86</v>
      </c>
      <c r="O118" s="4">
        <v>7.86</v>
      </c>
      <c r="P118" s="4">
        <v>14</v>
      </c>
      <c r="Q118" s="3" t="s">
        <v>26</v>
      </c>
      <c r="R118" s="3">
        <v>0</v>
      </c>
      <c r="S118" s="4">
        <v>0</v>
      </c>
      <c r="T118" s="4">
        <v>19</v>
      </c>
      <c r="U118" s="4">
        <v>57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83.46</v>
      </c>
      <c r="X118" s="4">
        <f>IF(ISERROR(VLOOKUP($U$118,'TAR FIN'!$A$1:$O$88,15,0)),0,VLOOKUP($U$118,'TAR FIN'!$A$1:$O$88,15,0))</f>
        <v>84.82</v>
      </c>
      <c r="Y118" s="4"/>
      <c r="Z118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8" s="4">
        <f>('TE BE'!$AB$11+'TE BF'!$AB$11+'TE CVA'!$AB$11)*(1-CUSTOS!$M$34)</f>
        <v>66.852629922104782</v>
      </c>
      <c r="AB118" s="4">
        <f>$K$118*$V$118</f>
        <v>0</v>
      </c>
      <c r="AC118" s="4">
        <f>$M$118*$W$118</f>
        <v>655.99559999999997</v>
      </c>
      <c r="AD118" s="4">
        <f>$O$118*$X$118</f>
        <v>666.68520000000001</v>
      </c>
      <c r="AE118" s="4">
        <f>$K$118*$Y$118</f>
        <v>0</v>
      </c>
      <c r="AF118" s="4">
        <f ca="1">$M$118*$Z$118</f>
        <v>954.3874067051604</v>
      </c>
      <c r="AG118" s="4">
        <f>$O$118*$AA$118</f>
        <v>525.4616711877436</v>
      </c>
    </row>
    <row r="119" spans="1:33" ht="11.25" customHeight="1" x14ac:dyDescent="0.3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30</v>
      </c>
      <c r="F119" s="3" t="s">
        <v>25</v>
      </c>
      <c r="G119" s="3" t="s">
        <v>25</v>
      </c>
      <c r="H119" s="3" t="s">
        <v>25</v>
      </c>
      <c r="I119" s="6">
        <v>44440</v>
      </c>
      <c r="J119" s="4">
        <v>0</v>
      </c>
      <c r="K119" s="4">
        <v>0</v>
      </c>
      <c r="L119" s="4">
        <v>10.137</v>
      </c>
      <c r="M119" s="4">
        <v>10.137</v>
      </c>
      <c r="N119" s="4">
        <v>10.137</v>
      </c>
      <c r="O119" s="4">
        <v>10.137</v>
      </c>
      <c r="P119" s="4">
        <v>36</v>
      </c>
      <c r="Q119" s="3" t="s">
        <v>26</v>
      </c>
      <c r="R119" s="3">
        <v>0</v>
      </c>
      <c r="S119" s="4">
        <v>0</v>
      </c>
      <c r="T119" s="4">
        <v>20</v>
      </c>
      <c r="U119" s="4">
        <v>58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143.07</v>
      </c>
      <c r="X119" s="4">
        <f>IF(ISERROR(VLOOKUP($U$119,'TAR FIN'!$A$1:$O$88,15,0)),0,VLOOKUP($U$119,'TAR FIN'!$A$1:$O$88,15,0))</f>
        <v>145.41</v>
      </c>
      <c r="Y119" s="4"/>
      <c r="Z119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19" s="4">
        <f>('TE BE'!$AB$12+'TE BF'!$AB$12+'TE CVA'!$AB$12)*(1-CUSTOS!$M$35)</f>
        <v>114.60450843789393</v>
      </c>
      <c r="AB119" s="4">
        <f>$K$119*$V$119</f>
        <v>0</v>
      </c>
      <c r="AC119" s="4">
        <f>$M$119*$W$119</f>
        <v>1450.3005900000001</v>
      </c>
      <c r="AD119" s="4">
        <f>$O$119*$X$119</f>
        <v>1474.02117</v>
      </c>
      <c r="AE119" s="4">
        <f>$K$119*$Y$119</f>
        <v>0</v>
      </c>
      <c r="AF119" s="4">
        <f ca="1">$M$119*$Z$119</f>
        <v>2110.0600091101883</v>
      </c>
      <c r="AG119" s="4">
        <f>$O$119*$AA$119</f>
        <v>1161.7459020349309</v>
      </c>
    </row>
    <row r="120" spans="1:33" ht="11.25" customHeight="1" x14ac:dyDescent="0.3">
      <c r="A120" s="3" t="s">
        <v>27</v>
      </c>
      <c r="B120" s="3" t="s">
        <v>22</v>
      </c>
      <c r="C120" s="3" t="s">
        <v>23</v>
      </c>
      <c r="D120" s="3" t="s">
        <v>24</v>
      </c>
      <c r="E120" s="3" t="s">
        <v>30</v>
      </c>
      <c r="F120" s="3" t="s">
        <v>25</v>
      </c>
      <c r="G120" s="3" t="s">
        <v>25</v>
      </c>
      <c r="H120" s="3" t="s">
        <v>25</v>
      </c>
      <c r="I120" s="6">
        <v>44440</v>
      </c>
      <c r="J120" s="4">
        <v>0</v>
      </c>
      <c r="K120" s="4">
        <v>0</v>
      </c>
      <c r="L120" s="4">
        <v>-0.14000000000000001</v>
      </c>
      <c r="M120" s="4">
        <v>-0.14000000000000001</v>
      </c>
      <c r="N120" s="4">
        <v>-0.14000000000000001</v>
      </c>
      <c r="O120" s="4">
        <v>-0.14000000000000001</v>
      </c>
      <c r="P120" s="4">
        <v>0</v>
      </c>
      <c r="Q120" s="3" t="s">
        <v>26</v>
      </c>
      <c r="R120" s="3">
        <v>0</v>
      </c>
      <c r="S120" s="4">
        <v>0</v>
      </c>
      <c r="T120" s="4">
        <v>20</v>
      </c>
      <c r="U120" s="4">
        <v>58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143.07</v>
      </c>
      <c r="X120" s="4">
        <f>IF(ISERROR(VLOOKUP($U$120,'TAR FIN'!$A$1:$O$88,15,0)),0,VLOOKUP($U$120,'TAR FIN'!$A$1:$O$88,15,0))</f>
        <v>145.41</v>
      </c>
      <c r="Y120" s="4"/>
      <c r="Z120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0" s="4">
        <f>('TE BE'!$AB$12+'TE BF'!$AB$12+'TE CVA'!$AB$12)*(1-CUSTOS!$M$35)</f>
        <v>114.60450843789393</v>
      </c>
      <c r="AB120" s="4">
        <f>$K$120*$V$120</f>
        <v>0</v>
      </c>
      <c r="AC120" s="4">
        <f>$M$120*$W$120</f>
        <v>-20.029800000000002</v>
      </c>
      <c r="AD120" s="4">
        <f>$O$120*$X$120</f>
        <v>-20.357400000000002</v>
      </c>
      <c r="AE120" s="4">
        <f>$K$120*$Y$120</f>
        <v>0</v>
      </c>
      <c r="AF120" s="4">
        <f ca="1">$M$120*$Z$120</f>
        <v>-29.141600204737728</v>
      </c>
      <c r="AG120" s="4">
        <f>$O$120*$AA$120</f>
        <v>-16.044631181305153</v>
      </c>
    </row>
    <row r="121" spans="1:33" ht="11.25" customHeight="1" x14ac:dyDescent="0.3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30</v>
      </c>
      <c r="F121" s="3" t="s">
        <v>25</v>
      </c>
      <c r="G121" s="3" t="s">
        <v>25</v>
      </c>
      <c r="H121" s="3" t="s">
        <v>25</v>
      </c>
      <c r="I121" s="6">
        <v>44470</v>
      </c>
      <c r="J121" s="4">
        <v>0</v>
      </c>
      <c r="K121" s="4">
        <v>0</v>
      </c>
      <c r="L121" s="4">
        <v>10.64</v>
      </c>
      <c r="M121" s="4">
        <v>10.64</v>
      </c>
      <c r="N121" s="4">
        <v>10.64</v>
      </c>
      <c r="O121" s="4">
        <v>10.64</v>
      </c>
      <c r="P121" s="4">
        <v>34</v>
      </c>
      <c r="Q121" s="3" t="s">
        <v>26</v>
      </c>
      <c r="R121" s="3">
        <v>0</v>
      </c>
      <c r="S121" s="4">
        <v>0</v>
      </c>
      <c r="T121" s="4">
        <v>20</v>
      </c>
      <c r="U121" s="4">
        <v>58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143.07</v>
      </c>
      <c r="X121" s="4">
        <f>IF(ISERROR(VLOOKUP($U$121,'TAR FIN'!$A$1:$O$88,15,0)),0,VLOOKUP($U$121,'TAR FIN'!$A$1:$O$88,15,0))</f>
        <v>145.41</v>
      </c>
      <c r="Y121" s="4"/>
      <c r="Z121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1" s="4">
        <f>('TE BE'!$AB$12+'TE BF'!$AB$12+'TE CVA'!$AB$12)*(1-CUSTOS!$M$35)</f>
        <v>114.60450843789393</v>
      </c>
      <c r="AB121" s="4">
        <f>$K$121*$V$121</f>
        <v>0</v>
      </c>
      <c r="AC121" s="4">
        <f>$M$121*$W$121</f>
        <v>1522.2647999999999</v>
      </c>
      <c r="AD121" s="4">
        <f>$O$121*$X$121</f>
        <v>1547.1623999999999</v>
      </c>
      <c r="AE121" s="4">
        <f>$K$121*$Y$121</f>
        <v>0</v>
      </c>
      <c r="AF121" s="4">
        <f ca="1">$M$121*$Z$121</f>
        <v>2214.7616155600672</v>
      </c>
      <c r="AG121" s="4">
        <f>$O$121*$AA$121</f>
        <v>1219.3919697791914</v>
      </c>
    </row>
    <row r="122" spans="1:33" ht="11.25" customHeight="1" x14ac:dyDescent="0.3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30</v>
      </c>
      <c r="F122" s="3" t="s">
        <v>25</v>
      </c>
      <c r="G122" s="3" t="s">
        <v>25</v>
      </c>
      <c r="H122" s="3" t="s">
        <v>25</v>
      </c>
      <c r="I122" s="6">
        <v>44501</v>
      </c>
      <c r="J122" s="4">
        <v>0</v>
      </c>
      <c r="K122" s="4">
        <v>0</v>
      </c>
      <c r="L122" s="4">
        <v>10.894</v>
      </c>
      <c r="M122" s="4">
        <v>10.894</v>
      </c>
      <c r="N122" s="4">
        <v>10.894</v>
      </c>
      <c r="O122" s="4">
        <v>10.894</v>
      </c>
      <c r="P122" s="4">
        <v>40</v>
      </c>
      <c r="Q122" s="3" t="s">
        <v>26</v>
      </c>
      <c r="R122" s="3">
        <v>0</v>
      </c>
      <c r="S122" s="4">
        <v>0</v>
      </c>
      <c r="T122" s="4">
        <v>20</v>
      </c>
      <c r="U122" s="4">
        <v>58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143.07</v>
      </c>
      <c r="X122" s="4">
        <f>IF(ISERROR(VLOOKUP($U$122,'TAR FIN'!$A$1:$O$88,15,0)),0,VLOOKUP($U$122,'TAR FIN'!$A$1:$O$88,15,0))</f>
        <v>145.41</v>
      </c>
      <c r="Y122" s="4"/>
      <c r="Z122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2" s="4">
        <f>('TE BE'!$AB$12+'TE BF'!$AB$12+'TE CVA'!$AB$12)*(1-CUSTOS!$M$35)</f>
        <v>114.60450843789393</v>
      </c>
      <c r="AB122" s="4">
        <f>$K$122*$V$122</f>
        <v>0</v>
      </c>
      <c r="AC122" s="4">
        <f>$M$122*$W$122</f>
        <v>1558.6045799999999</v>
      </c>
      <c r="AD122" s="4">
        <f>$O$122*$X$122</f>
        <v>1584.09654</v>
      </c>
      <c r="AE122" s="4">
        <f>$K$122*$Y$122</f>
        <v>0</v>
      </c>
      <c r="AF122" s="4">
        <f ca="1">$M$122*$Z$122</f>
        <v>2267.6328045029486</v>
      </c>
      <c r="AG122" s="4">
        <f>$O$122*$AA$122</f>
        <v>1248.5015149224164</v>
      </c>
    </row>
    <row r="123" spans="1:33" ht="11.25" customHeight="1" x14ac:dyDescent="0.3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30</v>
      </c>
      <c r="F123" s="3" t="s">
        <v>25</v>
      </c>
      <c r="G123" s="3" t="s">
        <v>25</v>
      </c>
      <c r="H123" s="3" t="s">
        <v>25</v>
      </c>
      <c r="I123" s="6">
        <v>44531</v>
      </c>
      <c r="J123" s="4">
        <v>0</v>
      </c>
      <c r="K123" s="4">
        <v>0</v>
      </c>
      <c r="L123" s="4">
        <v>11.026</v>
      </c>
      <c r="M123" s="4">
        <v>11.026</v>
      </c>
      <c r="N123" s="4">
        <v>11.026</v>
      </c>
      <c r="O123" s="4">
        <v>11.026</v>
      </c>
      <c r="P123" s="4">
        <v>37</v>
      </c>
      <c r="Q123" s="3" t="s">
        <v>26</v>
      </c>
      <c r="R123" s="3">
        <v>0</v>
      </c>
      <c r="S123" s="4">
        <v>0</v>
      </c>
      <c r="T123" s="4">
        <v>20</v>
      </c>
      <c r="U123" s="4">
        <v>58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143.07</v>
      </c>
      <c r="X123" s="4">
        <f>IF(ISERROR(VLOOKUP($U$123,'TAR FIN'!$A$1:$O$88,15,0)),0,VLOOKUP($U$123,'TAR FIN'!$A$1:$O$88,15,0))</f>
        <v>145.41</v>
      </c>
      <c r="Y123" s="4"/>
      <c r="Z123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3" s="4">
        <f>('TE BE'!$AB$12+'TE BF'!$AB$12+'TE CVA'!$AB$12)*(1-CUSTOS!$M$35)</f>
        <v>114.60450843789393</v>
      </c>
      <c r="AB123" s="4">
        <f>$K$123*$V$123</f>
        <v>0</v>
      </c>
      <c r="AC123" s="4">
        <f>$M$123*$W$123</f>
        <v>1577.48982</v>
      </c>
      <c r="AD123" s="4">
        <f>$O$123*$X$123</f>
        <v>1603.2906599999999</v>
      </c>
      <c r="AE123" s="4">
        <f>$K$123*$Y$123</f>
        <v>0</v>
      </c>
      <c r="AF123" s="4">
        <f ca="1">$M$123*$Z$123</f>
        <v>2295.1091704102723</v>
      </c>
      <c r="AG123" s="4">
        <f>$O$123*$AA$123</f>
        <v>1263.6293100362184</v>
      </c>
    </row>
    <row r="124" spans="1:33" ht="11.25" customHeight="1" x14ac:dyDescent="0.3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30</v>
      </c>
      <c r="F124" s="3" t="s">
        <v>25</v>
      </c>
      <c r="G124" s="3" t="s">
        <v>25</v>
      </c>
      <c r="H124" s="3" t="s">
        <v>25</v>
      </c>
      <c r="I124" s="6">
        <v>44562</v>
      </c>
      <c r="J124" s="4">
        <v>0</v>
      </c>
      <c r="K124" s="4">
        <v>0</v>
      </c>
      <c r="L124" s="4">
        <v>11.669</v>
      </c>
      <c r="M124" s="4">
        <v>11.669</v>
      </c>
      <c r="N124" s="4">
        <v>11.669</v>
      </c>
      <c r="O124" s="4">
        <v>11.669</v>
      </c>
      <c r="P124" s="4">
        <v>37</v>
      </c>
      <c r="Q124" s="3" t="s">
        <v>26</v>
      </c>
      <c r="R124" s="3">
        <v>0</v>
      </c>
      <c r="S124" s="4">
        <v>0</v>
      </c>
      <c r="T124" s="4">
        <v>20</v>
      </c>
      <c r="U124" s="4">
        <v>58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143.07</v>
      </c>
      <c r="X124" s="4">
        <f>IF(ISERROR(VLOOKUP($U$124,'TAR FIN'!$A$1:$O$88,15,0)),0,VLOOKUP($U$124,'TAR FIN'!$A$1:$O$88,15,0))</f>
        <v>145.41</v>
      </c>
      <c r="Y124" s="4"/>
      <c r="Z124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4" s="4">
        <f>('TE BE'!$AB$12+'TE BF'!$AB$12+'TE CVA'!$AB$12)*(1-CUSTOS!$M$35)</f>
        <v>114.60450843789393</v>
      </c>
      <c r="AB124" s="4">
        <f>$K$124*$V$124</f>
        <v>0</v>
      </c>
      <c r="AC124" s="4">
        <f>$M$124*$W$124</f>
        <v>1669.4838299999999</v>
      </c>
      <c r="AD124" s="4">
        <f>$O$124*$X$124</f>
        <v>1696.7892899999999</v>
      </c>
      <c r="AE124" s="4">
        <f>$K$124*$Y$124</f>
        <v>0</v>
      </c>
      <c r="AF124" s="4">
        <f ca="1">$M$124*$Z$124</f>
        <v>2428.9523770648893</v>
      </c>
      <c r="AG124" s="4">
        <f>$O$124*$AA$124</f>
        <v>1337.3200089617842</v>
      </c>
    </row>
    <row r="125" spans="1:33" ht="11.25" customHeight="1" x14ac:dyDescent="0.3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30</v>
      </c>
      <c r="F125" s="3" t="s">
        <v>25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12.263</v>
      </c>
      <c r="M125" s="4">
        <v>12.263</v>
      </c>
      <c r="N125" s="4">
        <v>12.263</v>
      </c>
      <c r="O125" s="4">
        <v>12.263</v>
      </c>
      <c r="P125" s="4">
        <v>22</v>
      </c>
      <c r="Q125" s="3" t="s">
        <v>26</v>
      </c>
      <c r="R125" s="3">
        <v>0</v>
      </c>
      <c r="S125" s="4">
        <v>0</v>
      </c>
      <c r="T125" s="4">
        <v>20</v>
      </c>
      <c r="U125" s="4">
        <v>58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143.07</v>
      </c>
      <c r="X125" s="4">
        <f>IF(ISERROR(VLOOKUP($U$125,'TAR FIN'!$A$1:$O$88,15,0)),0,VLOOKUP($U$125,'TAR FIN'!$A$1:$O$88,15,0))</f>
        <v>145.41</v>
      </c>
      <c r="Y125" s="4"/>
      <c r="Z125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5" s="4">
        <f>('TE BE'!$AB$12+'TE BF'!$AB$12+'TE CVA'!$AB$12)*(1-CUSTOS!$M$35)</f>
        <v>114.60450843789393</v>
      </c>
      <c r="AB125" s="4">
        <f>$K$125*$V$125</f>
        <v>0</v>
      </c>
      <c r="AC125" s="4">
        <f>$M$125*$W$125</f>
        <v>1754.46741</v>
      </c>
      <c r="AD125" s="4">
        <f>$O$125*$X$125</f>
        <v>1783.16283</v>
      </c>
      <c r="AE125" s="4">
        <f>$K$125*$Y$125</f>
        <v>0</v>
      </c>
      <c r="AF125" s="4">
        <f ca="1">$M$125*$Z$125</f>
        <v>2552.5960236478481</v>
      </c>
      <c r="AG125" s="4">
        <f>$O$125*$AA$125</f>
        <v>1405.3950869738933</v>
      </c>
    </row>
    <row r="126" spans="1:33" ht="11.25" customHeight="1" x14ac:dyDescent="0.3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30</v>
      </c>
      <c r="F126" s="3" t="s">
        <v>25</v>
      </c>
      <c r="G126" s="3" t="s">
        <v>25</v>
      </c>
      <c r="H126" s="3" t="s">
        <v>25</v>
      </c>
      <c r="I126" s="6">
        <v>44621</v>
      </c>
      <c r="J126" s="4">
        <v>0</v>
      </c>
      <c r="K126" s="4">
        <v>0</v>
      </c>
      <c r="L126" s="4">
        <v>14.694000000000001</v>
      </c>
      <c r="M126" s="4">
        <v>14.694000000000001</v>
      </c>
      <c r="N126" s="4">
        <v>14.694000000000001</v>
      </c>
      <c r="O126" s="4">
        <v>14.694000000000001</v>
      </c>
      <c r="P126" s="4">
        <v>44</v>
      </c>
      <c r="Q126" s="3" t="s">
        <v>26</v>
      </c>
      <c r="R126" s="3">
        <v>0</v>
      </c>
      <c r="S126" s="4">
        <v>0</v>
      </c>
      <c r="T126" s="4">
        <v>20</v>
      </c>
      <c r="U126" s="4">
        <v>58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143.07</v>
      </c>
      <c r="X126" s="4">
        <f>IF(ISERROR(VLOOKUP($U$126,'TAR FIN'!$A$1:$O$88,15,0)),0,VLOOKUP($U$126,'TAR FIN'!$A$1:$O$88,15,0))</f>
        <v>145.41</v>
      </c>
      <c r="Y126" s="4"/>
      <c r="Z126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6" s="4">
        <f>('TE BE'!$AB$12+'TE BF'!$AB$12+'TE CVA'!$AB$12)*(1-CUSTOS!$M$35)</f>
        <v>114.60450843789393</v>
      </c>
      <c r="AB126" s="4">
        <f>$K$126*$V$126</f>
        <v>0</v>
      </c>
      <c r="AC126" s="4">
        <f>$M$126*$W$126</f>
        <v>2102.2705799999999</v>
      </c>
      <c r="AD126" s="4">
        <f>$O$126*$X$126</f>
        <v>2136.65454</v>
      </c>
      <c r="AE126" s="4">
        <f>$K$126*$Y$126</f>
        <v>0</v>
      </c>
      <c r="AF126" s="4">
        <f ca="1">$M$126*$Z$126</f>
        <v>3058.6190957744011</v>
      </c>
      <c r="AG126" s="4">
        <f>$O$126*$AA$126</f>
        <v>1683.9986469864134</v>
      </c>
    </row>
    <row r="127" spans="1:33" ht="11.25" customHeight="1" x14ac:dyDescent="0.3">
      <c r="A127" s="3" t="s">
        <v>27</v>
      </c>
      <c r="B127" s="3" t="s">
        <v>22</v>
      </c>
      <c r="C127" s="3" t="s">
        <v>23</v>
      </c>
      <c r="D127" s="3" t="s">
        <v>24</v>
      </c>
      <c r="E127" s="3" t="s">
        <v>30</v>
      </c>
      <c r="F127" s="3" t="s">
        <v>25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-5.0000000000000001E-3</v>
      </c>
      <c r="M127" s="4">
        <v>-5.0000000000000001E-3</v>
      </c>
      <c r="N127" s="4">
        <v>-5.0000000000000001E-3</v>
      </c>
      <c r="O127" s="4">
        <v>-5.0000000000000001E-3</v>
      </c>
      <c r="P127" s="4">
        <v>0</v>
      </c>
      <c r="Q127" s="3" t="s">
        <v>26</v>
      </c>
      <c r="R127" s="3">
        <v>0</v>
      </c>
      <c r="S127" s="4">
        <v>0</v>
      </c>
      <c r="T127" s="4">
        <v>20</v>
      </c>
      <c r="U127" s="4">
        <v>58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143.07</v>
      </c>
      <c r="X127" s="4">
        <f>IF(ISERROR(VLOOKUP($U$127,'TAR FIN'!$A$1:$O$88,15,0)),0,VLOOKUP($U$127,'TAR FIN'!$A$1:$O$88,15,0))</f>
        <v>145.41</v>
      </c>
      <c r="Y127" s="4"/>
      <c r="Z127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7" s="4">
        <f>('TE BE'!$AB$12+'TE BF'!$AB$12+'TE CVA'!$AB$12)*(1-CUSTOS!$M$35)</f>
        <v>114.60450843789393</v>
      </c>
      <c r="AB127" s="4">
        <f>$K$127*$V$127</f>
        <v>0</v>
      </c>
      <c r="AC127" s="4">
        <f>$M$127*$W$127</f>
        <v>-0.71534999999999993</v>
      </c>
      <c r="AD127" s="4">
        <f>$O$127*$X$127</f>
        <v>-0.72704999999999997</v>
      </c>
      <c r="AE127" s="4">
        <f>$K$127*$Y$127</f>
        <v>0</v>
      </c>
      <c r="AF127" s="4">
        <f ca="1">$M$127*$Z$127</f>
        <v>-1.0407714358834901</v>
      </c>
      <c r="AG127" s="4">
        <f>$O$127*$AA$127</f>
        <v>-0.57302254218946969</v>
      </c>
    </row>
    <row r="128" spans="1:33" ht="11.25" customHeight="1" x14ac:dyDescent="0.3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30</v>
      </c>
      <c r="F128" s="3" t="s">
        <v>25</v>
      </c>
      <c r="G128" s="3" t="s">
        <v>25</v>
      </c>
      <c r="H128" s="3" t="s">
        <v>25</v>
      </c>
      <c r="I128" s="6">
        <v>44652</v>
      </c>
      <c r="J128" s="4">
        <v>0</v>
      </c>
      <c r="K128" s="4">
        <v>0</v>
      </c>
      <c r="L128" s="4">
        <v>15.435</v>
      </c>
      <c r="M128" s="4">
        <v>15.435</v>
      </c>
      <c r="N128" s="4">
        <v>15.435</v>
      </c>
      <c r="O128" s="4">
        <v>15.435</v>
      </c>
      <c r="P128" s="4">
        <v>48</v>
      </c>
      <c r="Q128" s="3" t="s">
        <v>26</v>
      </c>
      <c r="R128" s="3">
        <v>0</v>
      </c>
      <c r="S128" s="4">
        <v>0</v>
      </c>
      <c r="T128" s="4">
        <v>20</v>
      </c>
      <c r="U128" s="4">
        <v>58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143.07</v>
      </c>
      <c r="X128" s="4">
        <f>IF(ISERROR(VLOOKUP($U$128,'TAR FIN'!$A$1:$O$88,15,0)),0,VLOOKUP($U$128,'TAR FIN'!$A$1:$O$88,15,0))</f>
        <v>145.41</v>
      </c>
      <c r="Y128" s="4"/>
      <c r="Z128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8" s="4">
        <f>('TE BE'!$AB$12+'TE BF'!$AB$12+'TE CVA'!$AB$12)*(1-CUSTOS!$M$35)</f>
        <v>114.60450843789393</v>
      </c>
      <c r="AB128" s="4">
        <f>$K$128*$V$128</f>
        <v>0</v>
      </c>
      <c r="AC128" s="4">
        <f>$M$128*$W$128</f>
        <v>2208.2854499999999</v>
      </c>
      <c r="AD128" s="4">
        <f>$O$128*$X$128</f>
        <v>2244.40335</v>
      </c>
      <c r="AE128" s="4">
        <f>$K$128*$Y$128</f>
        <v>0</v>
      </c>
      <c r="AF128" s="4">
        <f ca="1">$M$128*$Z$128</f>
        <v>3212.861422572334</v>
      </c>
      <c r="AG128" s="4">
        <f>$O$128*$AA$128</f>
        <v>1768.9205877388929</v>
      </c>
    </row>
    <row r="129" spans="1:33" ht="11.25" customHeight="1" x14ac:dyDescent="0.3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30</v>
      </c>
      <c r="F129" s="3" t="s">
        <v>25</v>
      </c>
      <c r="G129" s="3" t="s">
        <v>25</v>
      </c>
      <c r="H129" s="3" t="s">
        <v>25</v>
      </c>
      <c r="I129" s="6">
        <v>44682</v>
      </c>
      <c r="J129" s="4">
        <v>0</v>
      </c>
      <c r="K129" s="4">
        <v>0</v>
      </c>
      <c r="L129" s="4">
        <v>16.388000000000002</v>
      </c>
      <c r="M129" s="4">
        <v>16.388000000000002</v>
      </c>
      <c r="N129" s="4">
        <v>16.388000000000002</v>
      </c>
      <c r="O129" s="4">
        <v>16.388000000000002</v>
      </c>
      <c r="P129" s="4">
        <v>74</v>
      </c>
      <c r="Q129" s="3" t="s">
        <v>26</v>
      </c>
      <c r="R129" s="3">
        <v>0</v>
      </c>
      <c r="S129" s="4">
        <v>0</v>
      </c>
      <c r="T129" s="4">
        <v>20</v>
      </c>
      <c r="U129" s="4">
        <v>58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143.07</v>
      </c>
      <c r="X129" s="4">
        <f>IF(ISERROR(VLOOKUP($U$129,'TAR FIN'!$A$1:$O$88,15,0)),0,VLOOKUP($U$129,'TAR FIN'!$A$1:$O$88,15,0))</f>
        <v>145.41</v>
      </c>
      <c r="Y129" s="4"/>
      <c r="Z129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29" s="4">
        <f>('TE BE'!$AB$12+'TE BF'!$AB$12+'TE CVA'!$AB$12)*(1-CUSTOS!$M$35)</f>
        <v>114.60450843789393</v>
      </c>
      <c r="AB129" s="4">
        <f>$K$129*$V$129</f>
        <v>0</v>
      </c>
      <c r="AC129" s="4">
        <f>$M$129*$W$129</f>
        <v>2344.6311599999999</v>
      </c>
      <c r="AD129" s="4">
        <f>$O$129*$X$129</f>
        <v>2382.9790800000001</v>
      </c>
      <c r="AE129" s="4">
        <f>$K$129*$Y$129</f>
        <v>0</v>
      </c>
      <c r="AF129" s="4">
        <f ca="1">$M$129*$Z$129</f>
        <v>3411.2324582517276</v>
      </c>
      <c r="AG129" s="4">
        <f>$O$129*$AA$129</f>
        <v>1878.1386842802058</v>
      </c>
    </row>
    <row r="130" spans="1:33" ht="11.25" customHeight="1" x14ac:dyDescent="0.3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30</v>
      </c>
      <c r="F130" s="3" t="s">
        <v>25</v>
      </c>
      <c r="G130" s="3" t="s">
        <v>25</v>
      </c>
      <c r="H130" s="3" t="s">
        <v>25</v>
      </c>
      <c r="I130" s="6">
        <v>44713</v>
      </c>
      <c r="J130" s="4">
        <v>0</v>
      </c>
      <c r="K130" s="4">
        <v>0</v>
      </c>
      <c r="L130" s="4">
        <v>15.46</v>
      </c>
      <c r="M130" s="4">
        <v>15.46</v>
      </c>
      <c r="N130" s="4">
        <v>15.46</v>
      </c>
      <c r="O130" s="4">
        <v>15.46</v>
      </c>
      <c r="P130" s="4">
        <v>60</v>
      </c>
      <c r="Q130" s="3" t="s">
        <v>26</v>
      </c>
      <c r="R130" s="3">
        <v>0</v>
      </c>
      <c r="S130" s="4">
        <v>0</v>
      </c>
      <c r="T130" s="4">
        <v>20</v>
      </c>
      <c r="U130" s="4">
        <v>58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143.07</v>
      </c>
      <c r="X130" s="4">
        <f>IF(ISERROR(VLOOKUP($U$130,'TAR FIN'!$A$1:$O$88,15,0)),0,VLOOKUP($U$130,'TAR FIN'!$A$1:$O$88,15,0))</f>
        <v>145.41</v>
      </c>
      <c r="Y130" s="4"/>
      <c r="Z130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30" s="4">
        <f>('TE BE'!$AB$12+'TE BF'!$AB$12+'TE CVA'!$AB$12)*(1-CUSTOS!$M$35)</f>
        <v>114.60450843789393</v>
      </c>
      <c r="AB130" s="4">
        <f>$K$130*$V$130</f>
        <v>0</v>
      </c>
      <c r="AC130" s="4">
        <f>$M$130*$W$130</f>
        <v>2211.8622</v>
      </c>
      <c r="AD130" s="4">
        <f>$O$130*$X$130</f>
        <v>2248.0385999999999</v>
      </c>
      <c r="AE130" s="4">
        <f>$K$130*$Y$130</f>
        <v>0</v>
      </c>
      <c r="AF130" s="4">
        <f ca="1">$M$130*$Z$130</f>
        <v>3218.0652797517519</v>
      </c>
      <c r="AG130" s="4">
        <f>$O$130*$AA$130</f>
        <v>1771.7857004498403</v>
      </c>
    </row>
    <row r="131" spans="1:33" ht="11.25" customHeight="1" x14ac:dyDescent="0.3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30</v>
      </c>
      <c r="F131" s="3" t="s">
        <v>25</v>
      </c>
      <c r="G131" s="3" t="s">
        <v>25</v>
      </c>
      <c r="H131" s="3" t="s">
        <v>25</v>
      </c>
      <c r="I131" s="6">
        <v>44743</v>
      </c>
      <c r="J131" s="4">
        <v>0</v>
      </c>
      <c r="K131" s="4">
        <v>0</v>
      </c>
      <c r="L131" s="4">
        <v>15.704000000000001</v>
      </c>
      <c r="M131" s="4">
        <v>15.704000000000001</v>
      </c>
      <c r="N131" s="4">
        <v>15.704000000000001</v>
      </c>
      <c r="O131" s="4">
        <v>15.704000000000001</v>
      </c>
      <c r="P131" s="4">
        <v>59</v>
      </c>
      <c r="Q131" s="3" t="s">
        <v>26</v>
      </c>
      <c r="R131" s="3">
        <v>0</v>
      </c>
      <c r="S131" s="4">
        <v>0</v>
      </c>
      <c r="T131" s="4">
        <v>20</v>
      </c>
      <c r="U131" s="4">
        <v>58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143.07</v>
      </c>
      <c r="X131" s="4">
        <f>IF(ISERROR(VLOOKUP($U$131,'TAR FIN'!$A$1:$O$88,15,0)),0,VLOOKUP($U$131,'TAR FIN'!$A$1:$O$88,15,0))</f>
        <v>145.41</v>
      </c>
      <c r="Y131" s="4"/>
      <c r="Z131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31" s="4">
        <f>('TE BE'!$AB$12+'TE BF'!$AB$12+'TE CVA'!$AB$12)*(1-CUSTOS!$M$35)</f>
        <v>114.60450843789393</v>
      </c>
      <c r="AB131" s="4">
        <f>$K$131*$V$131</f>
        <v>0</v>
      </c>
      <c r="AC131" s="4">
        <f>$M$131*$W$131</f>
        <v>2246.7712799999999</v>
      </c>
      <c r="AD131" s="4">
        <f>$O$131*$X$131</f>
        <v>2283.5186400000002</v>
      </c>
      <c r="AE131" s="4">
        <f>$K$131*$Y$131</f>
        <v>0</v>
      </c>
      <c r="AF131" s="4">
        <f ca="1">$M$131*$Z$131</f>
        <v>3268.8549258228659</v>
      </c>
      <c r="AG131" s="4">
        <f>$O$131*$AA$131</f>
        <v>1799.7492005086863</v>
      </c>
    </row>
    <row r="132" spans="1:33" ht="11.25" customHeight="1" x14ac:dyDescent="0.3">
      <c r="A132" s="3" t="s">
        <v>55</v>
      </c>
      <c r="B132" s="3" t="s">
        <v>22</v>
      </c>
      <c r="C132" s="3" t="s">
        <v>23</v>
      </c>
      <c r="D132" s="3" t="s">
        <v>24</v>
      </c>
      <c r="E132" s="3" t="s">
        <v>30</v>
      </c>
      <c r="F132" s="3" t="s">
        <v>25</v>
      </c>
      <c r="G132" s="3" t="s">
        <v>25</v>
      </c>
      <c r="H132" s="3" t="s">
        <v>25</v>
      </c>
      <c r="I132" s="6">
        <v>44774</v>
      </c>
      <c r="J132" s="4">
        <v>0</v>
      </c>
      <c r="K132" s="4">
        <v>0</v>
      </c>
      <c r="L132" s="4">
        <v>15.704000000000001</v>
      </c>
      <c r="M132" s="4">
        <v>15.704000000000001</v>
      </c>
      <c r="N132" s="4">
        <v>15.704000000000001</v>
      </c>
      <c r="O132" s="4">
        <v>15.704000000000001</v>
      </c>
      <c r="P132" s="4">
        <v>59</v>
      </c>
      <c r="Q132" s="3" t="s">
        <v>26</v>
      </c>
      <c r="R132" s="3">
        <v>0</v>
      </c>
      <c r="S132" s="4">
        <v>0</v>
      </c>
      <c r="T132" s="4">
        <v>20</v>
      </c>
      <c r="U132" s="4">
        <v>58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143.07</v>
      </c>
      <c r="X132" s="4">
        <f>IF(ISERROR(VLOOKUP($U$132,'TAR FIN'!$A$1:$O$88,15,0)),0,VLOOKUP($U$132,'TAR FIN'!$A$1:$O$88,15,0))</f>
        <v>145.41</v>
      </c>
      <c r="Y132" s="4"/>
      <c r="Z132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32" s="4">
        <f>('TE BE'!$AB$12+'TE BF'!$AB$12+'TE CVA'!$AB$12)*(1-CUSTOS!$M$35)</f>
        <v>114.60450843789393</v>
      </c>
      <c r="AB132" s="4">
        <f>$K$132*$V$132</f>
        <v>0</v>
      </c>
      <c r="AC132" s="4">
        <f>$M$132*$W$132</f>
        <v>2246.7712799999999</v>
      </c>
      <c r="AD132" s="4">
        <f>$O$132*$X$132</f>
        <v>2283.5186400000002</v>
      </c>
      <c r="AE132" s="4">
        <f>$K$132*$Y$132</f>
        <v>0</v>
      </c>
      <c r="AF132" s="4">
        <f ca="1">$M$132*$Z$132</f>
        <v>3268.8549258228659</v>
      </c>
      <c r="AG132" s="4">
        <f>$O$132*$AA$132</f>
        <v>1799.7492005086863</v>
      </c>
    </row>
    <row r="133" spans="1:33" ht="11.25" customHeight="1" x14ac:dyDescent="0.3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31</v>
      </c>
      <c r="F133" s="3" t="s">
        <v>25</v>
      </c>
      <c r="G133" s="3" t="s">
        <v>25</v>
      </c>
      <c r="H133" s="3" t="s">
        <v>25</v>
      </c>
      <c r="I133" s="6">
        <v>44440</v>
      </c>
      <c r="J133" s="4">
        <v>0</v>
      </c>
      <c r="K133" s="4">
        <v>0</v>
      </c>
      <c r="L133" s="4">
        <v>8.66</v>
      </c>
      <c r="M133" s="4">
        <v>8.66</v>
      </c>
      <c r="N133" s="4">
        <v>8.66</v>
      </c>
      <c r="O133" s="4">
        <v>8.66</v>
      </c>
      <c r="P133" s="4">
        <v>94</v>
      </c>
      <c r="Q133" s="3" t="s">
        <v>26</v>
      </c>
      <c r="R133" s="3">
        <v>0</v>
      </c>
      <c r="S133" s="4">
        <v>0</v>
      </c>
      <c r="T133" s="4">
        <v>21</v>
      </c>
      <c r="U133" s="4">
        <v>59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214.6</v>
      </c>
      <c r="X133" s="4">
        <f>IF(ISERROR(VLOOKUP($U$133,'TAR FIN'!$A$1:$O$88,15,0)),0,VLOOKUP($U$133,'TAR FIN'!$A$1:$O$88,15,0))</f>
        <v>218.11</v>
      </c>
      <c r="Y133" s="4"/>
      <c r="Z133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33" s="4">
        <f>('TE BE'!$AB$13+'TE BF'!$AB$13+'TE CVA'!$AB$13)*(1-CUSTOS!$M$36)</f>
        <v>171.9067626568409</v>
      </c>
      <c r="AB133" s="4">
        <f>$K$133*$V$133</f>
        <v>0</v>
      </c>
      <c r="AC133" s="4">
        <f>$M$133*$W$133</f>
        <v>1858.4359999999999</v>
      </c>
      <c r="AD133" s="4">
        <f>$O$133*$X$133</f>
        <v>1888.8326000000002</v>
      </c>
      <c r="AE133" s="4">
        <f>$K$133*$Y$133</f>
        <v>0</v>
      </c>
      <c r="AF133" s="4">
        <f ca="1">$M$133*$Z$133</f>
        <v>2703.9241904253072</v>
      </c>
      <c r="AG133" s="4">
        <f>$O$133*$AA$133</f>
        <v>1488.7125646082422</v>
      </c>
    </row>
    <row r="134" spans="1:33" ht="11.25" customHeight="1" x14ac:dyDescent="0.3">
      <c r="A134" s="3" t="s">
        <v>27</v>
      </c>
      <c r="B134" s="3" t="s">
        <v>22</v>
      </c>
      <c r="C134" s="3" t="s">
        <v>23</v>
      </c>
      <c r="D134" s="3" t="s">
        <v>24</v>
      </c>
      <c r="E134" s="3" t="s">
        <v>31</v>
      </c>
      <c r="F134" s="3" t="s">
        <v>25</v>
      </c>
      <c r="G134" s="3" t="s">
        <v>25</v>
      </c>
      <c r="H134" s="3" t="s">
        <v>25</v>
      </c>
      <c r="I134" s="6">
        <v>44440</v>
      </c>
      <c r="J134" s="4">
        <v>0</v>
      </c>
      <c r="K134" s="4">
        <v>0</v>
      </c>
      <c r="L134" s="4">
        <v>-0.22600000000000001</v>
      </c>
      <c r="M134" s="4">
        <v>-0.22600000000000001</v>
      </c>
      <c r="N134" s="4">
        <v>-0.22600000000000001</v>
      </c>
      <c r="O134" s="4">
        <v>-0.22600000000000001</v>
      </c>
      <c r="P134" s="4">
        <v>0</v>
      </c>
      <c r="Q134" s="3" t="s">
        <v>26</v>
      </c>
      <c r="R134" s="3">
        <v>0</v>
      </c>
      <c r="S134" s="4">
        <v>0</v>
      </c>
      <c r="T134" s="4">
        <v>21</v>
      </c>
      <c r="U134" s="4">
        <v>59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214.6</v>
      </c>
      <c r="X134" s="4">
        <f>IF(ISERROR(VLOOKUP($U$134,'TAR FIN'!$A$1:$O$88,15,0)),0,VLOOKUP($U$134,'TAR FIN'!$A$1:$O$88,15,0))</f>
        <v>218.11</v>
      </c>
      <c r="Y134" s="4"/>
      <c r="Z134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34" s="4">
        <f>('TE BE'!$AB$13+'TE BF'!$AB$13+'TE CVA'!$AB$13)*(1-CUSTOS!$M$36)</f>
        <v>171.9067626568409</v>
      </c>
      <c r="AB134" s="4">
        <f>$K$134*$V$134</f>
        <v>0</v>
      </c>
      <c r="AC134" s="4">
        <f>$M$134*$W$134</f>
        <v>-48.499600000000001</v>
      </c>
      <c r="AD134" s="4">
        <f>$O$134*$X$134</f>
        <v>-49.292860000000005</v>
      </c>
      <c r="AE134" s="4">
        <f>$K$134*$Y$134</f>
        <v>0</v>
      </c>
      <c r="AF134" s="4">
        <f ca="1">$M$134*$Z$134</f>
        <v>-70.564303352900637</v>
      </c>
      <c r="AG134" s="4">
        <f>$O$134*$AA$134</f>
        <v>-38.850928360446041</v>
      </c>
    </row>
    <row r="135" spans="1:33" ht="11.25" customHeight="1" x14ac:dyDescent="0.3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31</v>
      </c>
      <c r="F135" s="3" t="s">
        <v>25</v>
      </c>
      <c r="G135" s="3" t="s">
        <v>25</v>
      </c>
      <c r="H135" s="3" t="s">
        <v>25</v>
      </c>
      <c r="I135" s="6">
        <v>44470</v>
      </c>
      <c r="J135" s="4">
        <v>0</v>
      </c>
      <c r="K135" s="4">
        <v>0</v>
      </c>
      <c r="L135" s="4">
        <v>9.8420000000000005</v>
      </c>
      <c r="M135" s="4">
        <v>9.8420000000000005</v>
      </c>
      <c r="N135" s="4">
        <v>9.8420000000000005</v>
      </c>
      <c r="O135" s="4">
        <v>9.8420000000000005</v>
      </c>
      <c r="P135" s="4">
        <v>91</v>
      </c>
      <c r="Q135" s="3" t="s">
        <v>26</v>
      </c>
      <c r="R135" s="3">
        <v>0</v>
      </c>
      <c r="S135" s="4">
        <v>0</v>
      </c>
      <c r="T135" s="4">
        <v>21</v>
      </c>
      <c r="U135" s="4">
        <v>59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214.6</v>
      </c>
      <c r="X135" s="4">
        <f>IF(ISERROR(VLOOKUP($U$135,'TAR FIN'!$A$1:$O$88,15,0)),0,VLOOKUP($U$135,'TAR FIN'!$A$1:$O$88,15,0))</f>
        <v>218.11</v>
      </c>
      <c r="Y135" s="4"/>
      <c r="Z135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35" s="4">
        <f>('TE BE'!$AB$13+'TE BF'!$AB$13+'TE CVA'!$AB$13)*(1-CUSTOS!$M$36)</f>
        <v>171.9067626568409</v>
      </c>
      <c r="AB135" s="4">
        <f>$K$135*$V$135</f>
        <v>0</v>
      </c>
      <c r="AC135" s="4">
        <f>$M$135*$W$135</f>
        <v>2112.0932000000003</v>
      </c>
      <c r="AD135" s="4">
        <f>$O$135*$X$135</f>
        <v>2146.6386200000002</v>
      </c>
      <c r="AE135" s="4">
        <f>$K$135*$Y$135</f>
        <v>0</v>
      </c>
      <c r="AF135" s="4">
        <f ca="1">$M$135*$Z$135</f>
        <v>3072.9817415895932</v>
      </c>
      <c r="AG135" s="4">
        <f>$O$135*$AA$135</f>
        <v>1691.9063580686282</v>
      </c>
    </row>
    <row r="136" spans="1:33" ht="11.25" customHeight="1" x14ac:dyDescent="0.3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31</v>
      </c>
      <c r="F136" s="3" t="s">
        <v>25</v>
      </c>
      <c r="G136" s="3" t="s">
        <v>25</v>
      </c>
      <c r="H136" s="3" t="s">
        <v>25</v>
      </c>
      <c r="I136" s="6">
        <v>44501</v>
      </c>
      <c r="J136" s="4">
        <v>0</v>
      </c>
      <c r="K136" s="4">
        <v>0</v>
      </c>
      <c r="L136" s="4">
        <v>9.7710000000000008</v>
      </c>
      <c r="M136" s="4">
        <v>9.7710000000000008</v>
      </c>
      <c r="N136" s="4">
        <v>9.7710000000000008</v>
      </c>
      <c r="O136" s="4">
        <v>9.7710000000000008</v>
      </c>
      <c r="P136" s="4">
        <v>93</v>
      </c>
      <c r="Q136" s="3" t="s">
        <v>26</v>
      </c>
      <c r="R136" s="3">
        <v>0</v>
      </c>
      <c r="S136" s="4">
        <v>0</v>
      </c>
      <c r="T136" s="4">
        <v>21</v>
      </c>
      <c r="U136" s="4">
        <v>59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214.6</v>
      </c>
      <c r="X136" s="4">
        <f>IF(ISERROR(VLOOKUP($U$136,'TAR FIN'!$A$1:$O$88,15,0)),0,VLOOKUP($U$136,'TAR FIN'!$A$1:$O$88,15,0))</f>
        <v>218.11</v>
      </c>
      <c r="Y136" s="4"/>
      <c r="Z136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36" s="4">
        <f>('TE BE'!$AB$13+'TE BF'!$AB$13+'TE CVA'!$AB$13)*(1-CUSTOS!$M$36)</f>
        <v>171.9067626568409</v>
      </c>
      <c r="AB136" s="4">
        <f>$K$136*$V$136</f>
        <v>0</v>
      </c>
      <c r="AC136" s="4">
        <f>$M$136*$W$136</f>
        <v>2096.8566000000001</v>
      </c>
      <c r="AD136" s="4">
        <f>$O$136*$X$136</f>
        <v>2131.1528100000005</v>
      </c>
      <c r="AE136" s="4">
        <f>$K$136*$Y$136</f>
        <v>0</v>
      </c>
      <c r="AF136" s="4">
        <f ca="1">$M$136*$Z$136</f>
        <v>3050.8133100052751</v>
      </c>
      <c r="AG136" s="4">
        <f>$O$136*$AA$136</f>
        <v>1679.7009779199925</v>
      </c>
    </row>
    <row r="137" spans="1:33" ht="11.25" customHeight="1" x14ac:dyDescent="0.3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31</v>
      </c>
      <c r="F137" s="3" t="s">
        <v>25</v>
      </c>
      <c r="G137" s="3" t="s">
        <v>25</v>
      </c>
      <c r="H137" s="3" t="s">
        <v>25</v>
      </c>
      <c r="I137" s="6">
        <v>44531</v>
      </c>
      <c r="J137" s="4">
        <v>0</v>
      </c>
      <c r="K137" s="4">
        <v>0</v>
      </c>
      <c r="L137" s="4">
        <v>10.201000000000001</v>
      </c>
      <c r="M137" s="4">
        <v>10.201000000000001</v>
      </c>
      <c r="N137" s="4">
        <v>10.201000000000001</v>
      </c>
      <c r="O137" s="4">
        <v>10.201000000000001</v>
      </c>
      <c r="P137" s="4">
        <v>100</v>
      </c>
      <c r="Q137" s="3" t="s">
        <v>26</v>
      </c>
      <c r="R137" s="3">
        <v>0</v>
      </c>
      <c r="S137" s="4">
        <v>0</v>
      </c>
      <c r="T137" s="4">
        <v>21</v>
      </c>
      <c r="U137" s="4">
        <v>59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214.6</v>
      </c>
      <c r="X137" s="4">
        <f>IF(ISERROR(VLOOKUP($U$137,'TAR FIN'!$A$1:$O$88,15,0)),0,VLOOKUP($U$137,'TAR FIN'!$A$1:$O$88,15,0))</f>
        <v>218.11</v>
      </c>
      <c r="Y137" s="4"/>
      <c r="Z137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37" s="4">
        <f>('TE BE'!$AB$13+'TE BF'!$AB$13+'TE CVA'!$AB$13)*(1-CUSTOS!$M$36)</f>
        <v>171.9067626568409</v>
      </c>
      <c r="AB137" s="4">
        <f>$K$137*$V$137</f>
        <v>0</v>
      </c>
      <c r="AC137" s="4">
        <f>$M$137*$W$137</f>
        <v>2189.1345999999999</v>
      </c>
      <c r="AD137" s="4">
        <f>$O$137*$X$137</f>
        <v>2224.9401100000005</v>
      </c>
      <c r="AE137" s="4">
        <f>$K$137*$Y$137</f>
        <v>0</v>
      </c>
      <c r="AF137" s="4">
        <f ca="1">$M$137*$Z$137</f>
        <v>3185.0728252342451</v>
      </c>
      <c r="AG137" s="4">
        <f>$O$137*$AA$137</f>
        <v>1753.6208858624341</v>
      </c>
    </row>
    <row r="138" spans="1:33" ht="11.25" customHeight="1" x14ac:dyDescent="0.3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31</v>
      </c>
      <c r="F138" s="3" t="s">
        <v>25</v>
      </c>
      <c r="G138" s="3" t="s">
        <v>25</v>
      </c>
      <c r="H138" s="3" t="s">
        <v>25</v>
      </c>
      <c r="I138" s="6">
        <v>44562</v>
      </c>
      <c r="J138" s="4">
        <v>0</v>
      </c>
      <c r="K138" s="4">
        <v>0</v>
      </c>
      <c r="L138" s="4">
        <v>11.513999999999999</v>
      </c>
      <c r="M138" s="4">
        <v>11.513999999999999</v>
      </c>
      <c r="N138" s="4">
        <v>11.513999999999999</v>
      </c>
      <c r="O138" s="4">
        <v>11.513999999999999</v>
      </c>
      <c r="P138" s="4">
        <v>88</v>
      </c>
      <c r="Q138" s="3" t="s">
        <v>26</v>
      </c>
      <c r="R138" s="3">
        <v>0</v>
      </c>
      <c r="S138" s="4">
        <v>0</v>
      </c>
      <c r="T138" s="4">
        <v>21</v>
      </c>
      <c r="U138" s="4">
        <v>59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214.6</v>
      </c>
      <c r="X138" s="4">
        <f>IF(ISERROR(VLOOKUP($U$138,'TAR FIN'!$A$1:$O$88,15,0)),0,VLOOKUP($U$138,'TAR FIN'!$A$1:$O$88,15,0))</f>
        <v>218.11</v>
      </c>
      <c r="Y138" s="4"/>
      <c r="Z138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38" s="4">
        <f>('TE BE'!$AB$13+'TE BF'!$AB$13+'TE CVA'!$AB$13)*(1-CUSTOS!$M$36)</f>
        <v>171.9067626568409</v>
      </c>
      <c r="AB138" s="4">
        <f>$K$138*$V$138</f>
        <v>0</v>
      </c>
      <c r="AC138" s="4">
        <f>$M$138*$W$138</f>
        <v>2470.9043999999999</v>
      </c>
      <c r="AD138" s="4">
        <f>$O$138*$X$138</f>
        <v>2511.3185400000002</v>
      </c>
      <c r="AE138" s="4">
        <f>$K$138*$Y$138</f>
        <v>0</v>
      </c>
      <c r="AF138" s="4">
        <f ca="1">$M$138*$Z$138</f>
        <v>3595.0326938287512</v>
      </c>
      <c r="AG138" s="4">
        <f>$O$138*$AA$138</f>
        <v>1979.334465230866</v>
      </c>
    </row>
    <row r="139" spans="1:33" ht="11.25" customHeight="1" x14ac:dyDescent="0.3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31</v>
      </c>
      <c r="F139" s="3" t="s">
        <v>25</v>
      </c>
      <c r="G139" s="3" t="s">
        <v>25</v>
      </c>
      <c r="H139" s="3" t="s">
        <v>25</v>
      </c>
      <c r="I139" s="6">
        <v>44593</v>
      </c>
      <c r="J139" s="4">
        <v>0</v>
      </c>
      <c r="K139" s="4">
        <v>0</v>
      </c>
      <c r="L139" s="4">
        <v>14.289</v>
      </c>
      <c r="M139" s="4">
        <v>14.289</v>
      </c>
      <c r="N139" s="4">
        <v>14.289</v>
      </c>
      <c r="O139" s="4">
        <v>14.289</v>
      </c>
      <c r="P139" s="4">
        <v>85</v>
      </c>
      <c r="Q139" s="3" t="s">
        <v>26</v>
      </c>
      <c r="R139" s="3">
        <v>0</v>
      </c>
      <c r="S139" s="4">
        <v>0</v>
      </c>
      <c r="T139" s="4">
        <v>21</v>
      </c>
      <c r="U139" s="4">
        <v>59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214.6</v>
      </c>
      <c r="X139" s="4">
        <f>IF(ISERROR(VLOOKUP($U$139,'TAR FIN'!$A$1:$O$88,15,0)),0,VLOOKUP($U$139,'TAR FIN'!$A$1:$O$88,15,0))</f>
        <v>218.11</v>
      </c>
      <c r="Y139" s="4"/>
      <c r="Z139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39" s="4">
        <f>('TE BE'!$AB$13+'TE BF'!$AB$13+'TE CVA'!$AB$13)*(1-CUSTOS!$M$36)</f>
        <v>171.9067626568409</v>
      </c>
      <c r="AB139" s="4">
        <f>$K$139*$V$139</f>
        <v>0</v>
      </c>
      <c r="AC139" s="4">
        <f>$M$139*$W$139</f>
        <v>3066.4193999999998</v>
      </c>
      <c r="AD139" s="4">
        <f>$O$139*$X$139</f>
        <v>3116.5737899999999</v>
      </c>
      <c r="AE139" s="4">
        <f>$K$139*$Y$139</f>
        <v>0</v>
      </c>
      <c r="AF139" s="4">
        <f ca="1">$M$139*$Z$139</f>
        <v>4461.4749142017572</v>
      </c>
      <c r="AG139" s="4">
        <f>$O$139*$AA$139</f>
        <v>2456.3757316035994</v>
      </c>
    </row>
    <row r="140" spans="1:33" ht="11.25" customHeight="1" x14ac:dyDescent="0.3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31</v>
      </c>
      <c r="F140" s="3" t="s">
        <v>25</v>
      </c>
      <c r="G140" s="3" t="s">
        <v>25</v>
      </c>
      <c r="H140" s="3" t="s">
        <v>25</v>
      </c>
      <c r="I140" s="6">
        <v>44621</v>
      </c>
      <c r="J140" s="4">
        <v>0</v>
      </c>
      <c r="K140" s="4">
        <v>0</v>
      </c>
      <c r="L140" s="4">
        <v>14.22</v>
      </c>
      <c r="M140" s="4">
        <v>14.22</v>
      </c>
      <c r="N140" s="4">
        <v>14.22</v>
      </c>
      <c r="O140" s="4">
        <v>14.22</v>
      </c>
      <c r="P140" s="4">
        <v>118</v>
      </c>
      <c r="Q140" s="3" t="s">
        <v>26</v>
      </c>
      <c r="R140" s="3">
        <v>0</v>
      </c>
      <c r="S140" s="4">
        <v>0</v>
      </c>
      <c r="T140" s="4">
        <v>21</v>
      </c>
      <c r="U140" s="4">
        <v>59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214.6</v>
      </c>
      <c r="X140" s="4">
        <f>IF(ISERROR(VLOOKUP($U$140,'TAR FIN'!$A$1:$O$88,15,0)),0,VLOOKUP($U$140,'TAR FIN'!$A$1:$O$88,15,0))</f>
        <v>218.11</v>
      </c>
      <c r="Y140" s="4"/>
      <c r="Z140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40" s="4">
        <f>('TE BE'!$AB$13+'TE BF'!$AB$13+'TE CVA'!$AB$13)*(1-CUSTOS!$M$36)</f>
        <v>171.9067626568409</v>
      </c>
      <c r="AB140" s="4">
        <f>$K$140*$V$140</f>
        <v>0</v>
      </c>
      <c r="AC140" s="4">
        <f>$M$140*$W$140</f>
        <v>3051.6120000000001</v>
      </c>
      <c r="AD140" s="4">
        <f>$O$140*$X$140</f>
        <v>3101.5242000000003</v>
      </c>
      <c r="AE140" s="4">
        <f>$K$140*$Y$140</f>
        <v>0</v>
      </c>
      <c r="AF140" s="4">
        <f ca="1">$M$140*$Z$140</f>
        <v>4439.9309454789691</v>
      </c>
      <c r="AG140" s="4">
        <f>$O$140*$AA$140</f>
        <v>2444.5141649802777</v>
      </c>
    </row>
    <row r="141" spans="1:33" ht="11.25" customHeight="1" x14ac:dyDescent="0.3">
      <c r="A141" s="3" t="s">
        <v>27</v>
      </c>
      <c r="B141" s="3" t="s">
        <v>22</v>
      </c>
      <c r="C141" s="3" t="s">
        <v>23</v>
      </c>
      <c r="D141" s="3" t="s">
        <v>24</v>
      </c>
      <c r="E141" s="3" t="s">
        <v>31</v>
      </c>
      <c r="F141" s="3" t="s">
        <v>25</v>
      </c>
      <c r="G141" s="3" t="s">
        <v>25</v>
      </c>
      <c r="H141" s="3" t="s">
        <v>25</v>
      </c>
      <c r="I141" s="6">
        <v>44621</v>
      </c>
      <c r="J141" s="4">
        <v>0</v>
      </c>
      <c r="K141" s="4">
        <v>0</v>
      </c>
      <c r="L141" s="4">
        <v>-0.14499999999999999</v>
      </c>
      <c r="M141" s="4">
        <v>-0.14499999999999999</v>
      </c>
      <c r="N141" s="4">
        <v>-0.14499999999999999</v>
      </c>
      <c r="O141" s="4">
        <v>-0.14499999999999999</v>
      </c>
      <c r="P141" s="4">
        <v>0</v>
      </c>
      <c r="Q141" s="3" t="s">
        <v>26</v>
      </c>
      <c r="R141" s="3">
        <v>0</v>
      </c>
      <c r="S141" s="4">
        <v>0</v>
      </c>
      <c r="T141" s="4">
        <v>21</v>
      </c>
      <c r="U141" s="4">
        <v>59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214.6</v>
      </c>
      <c r="X141" s="4">
        <f>IF(ISERROR(VLOOKUP($U$141,'TAR FIN'!$A$1:$O$88,15,0)),0,VLOOKUP($U$141,'TAR FIN'!$A$1:$O$88,15,0))</f>
        <v>218.11</v>
      </c>
      <c r="Y141" s="4"/>
      <c r="Z141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41" s="4">
        <f>('TE BE'!$AB$13+'TE BF'!$AB$13+'TE CVA'!$AB$13)*(1-CUSTOS!$M$36)</f>
        <v>171.9067626568409</v>
      </c>
      <c r="AB141" s="4">
        <f>$K$141*$V$141</f>
        <v>0</v>
      </c>
      <c r="AC141" s="4">
        <f>$M$141*$W$141</f>
        <v>-31.116999999999997</v>
      </c>
      <c r="AD141" s="4">
        <f>$O$141*$X$141</f>
        <v>-31.62595</v>
      </c>
      <c r="AE141" s="4">
        <f>$K$141*$Y$141</f>
        <v>0</v>
      </c>
      <c r="AF141" s="4">
        <f ca="1">$M$141*$Z$141</f>
        <v>-45.273557460931819</v>
      </c>
      <c r="AG141" s="4">
        <f>$O$141*$AA$141</f>
        <v>-24.926480585241929</v>
      </c>
    </row>
    <row r="142" spans="1:33" ht="11.25" customHeight="1" x14ac:dyDescent="0.3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31</v>
      </c>
      <c r="F142" s="3" t="s">
        <v>25</v>
      </c>
      <c r="G142" s="3" t="s">
        <v>25</v>
      </c>
      <c r="H142" s="3" t="s">
        <v>25</v>
      </c>
      <c r="I142" s="6">
        <v>44652</v>
      </c>
      <c r="J142" s="4">
        <v>0</v>
      </c>
      <c r="K142" s="4">
        <v>0</v>
      </c>
      <c r="L142" s="4">
        <v>14.488</v>
      </c>
      <c r="M142" s="4">
        <v>14.488</v>
      </c>
      <c r="N142" s="4">
        <v>14.488</v>
      </c>
      <c r="O142" s="4">
        <v>14.488</v>
      </c>
      <c r="P142" s="4">
        <v>134</v>
      </c>
      <c r="Q142" s="3" t="s">
        <v>26</v>
      </c>
      <c r="R142" s="3">
        <v>0</v>
      </c>
      <c r="S142" s="4">
        <v>0</v>
      </c>
      <c r="T142" s="4">
        <v>21</v>
      </c>
      <c r="U142" s="4">
        <v>59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214.6</v>
      </c>
      <c r="X142" s="4">
        <f>IF(ISERROR(VLOOKUP($U$142,'TAR FIN'!$A$1:$O$88,15,0)),0,VLOOKUP($U$142,'TAR FIN'!$A$1:$O$88,15,0))</f>
        <v>218.11</v>
      </c>
      <c r="Y142" s="4"/>
      <c r="Z142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42" s="4">
        <f>('TE BE'!$AB$13+'TE BF'!$AB$13+'TE CVA'!$AB$13)*(1-CUSTOS!$M$36)</f>
        <v>171.9067626568409</v>
      </c>
      <c r="AB142" s="4">
        <f>$K$142*$V$142</f>
        <v>0</v>
      </c>
      <c r="AC142" s="4">
        <f>$M$142*$W$142</f>
        <v>3109.1247999999996</v>
      </c>
      <c r="AD142" s="4">
        <f>$O$142*$X$142</f>
        <v>3159.97768</v>
      </c>
      <c r="AE142" s="4">
        <f>$K$142*$Y$142</f>
        <v>0</v>
      </c>
      <c r="AF142" s="4">
        <f ca="1">$M$142*$Z$142</f>
        <v>4523.6089689240016</v>
      </c>
      <c r="AG142" s="4">
        <f>$O$142*$AA$142</f>
        <v>2490.5851773723107</v>
      </c>
    </row>
    <row r="143" spans="1:33" ht="11.25" customHeight="1" x14ac:dyDescent="0.3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31</v>
      </c>
      <c r="F143" s="3" t="s">
        <v>25</v>
      </c>
      <c r="G143" s="3" t="s">
        <v>25</v>
      </c>
      <c r="H143" s="3" t="s">
        <v>25</v>
      </c>
      <c r="I143" s="6">
        <v>44682</v>
      </c>
      <c r="J143" s="4">
        <v>0</v>
      </c>
      <c r="K143" s="4">
        <v>0</v>
      </c>
      <c r="L143" s="4">
        <v>12.88</v>
      </c>
      <c r="M143" s="4">
        <v>12.88</v>
      </c>
      <c r="N143" s="4">
        <v>12.88</v>
      </c>
      <c r="O143" s="4">
        <v>12.88</v>
      </c>
      <c r="P143" s="4">
        <v>152</v>
      </c>
      <c r="Q143" s="3" t="s">
        <v>26</v>
      </c>
      <c r="R143" s="3">
        <v>0</v>
      </c>
      <c r="S143" s="4">
        <v>0</v>
      </c>
      <c r="T143" s="4">
        <v>21</v>
      </c>
      <c r="U143" s="4">
        <v>59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214.6</v>
      </c>
      <c r="X143" s="4">
        <f>IF(ISERROR(VLOOKUP($U$143,'TAR FIN'!$A$1:$O$88,15,0)),0,VLOOKUP($U$143,'TAR FIN'!$A$1:$O$88,15,0))</f>
        <v>218.11</v>
      </c>
      <c r="Y143" s="4"/>
      <c r="Z143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43" s="4">
        <f>('TE BE'!$AB$13+'TE BF'!$AB$13+'TE CVA'!$AB$13)*(1-CUSTOS!$M$36)</f>
        <v>171.9067626568409</v>
      </c>
      <c r="AB143" s="4">
        <f>$K$143*$V$143</f>
        <v>0</v>
      </c>
      <c r="AC143" s="4">
        <f>$M$143*$W$143</f>
        <v>2764.0480000000002</v>
      </c>
      <c r="AD143" s="4">
        <f>$O$143*$X$143</f>
        <v>2809.2568000000006</v>
      </c>
      <c r="AE143" s="4">
        <f>$K$143*$Y$143</f>
        <v>0</v>
      </c>
      <c r="AF143" s="4">
        <f ca="1">$M$143*$Z$143</f>
        <v>4021.540828253806</v>
      </c>
      <c r="AG143" s="4">
        <f>$O$143*$AA$143</f>
        <v>2214.1591030201107</v>
      </c>
    </row>
    <row r="144" spans="1:33" ht="11.25" customHeight="1" x14ac:dyDescent="0.3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31</v>
      </c>
      <c r="F144" s="3" t="s">
        <v>25</v>
      </c>
      <c r="G144" s="3" t="s">
        <v>25</v>
      </c>
      <c r="H144" s="3" t="s">
        <v>25</v>
      </c>
      <c r="I144" s="6">
        <v>44713</v>
      </c>
      <c r="J144" s="4">
        <v>0</v>
      </c>
      <c r="K144" s="4">
        <v>0</v>
      </c>
      <c r="L144" s="4">
        <v>14.611000000000001</v>
      </c>
      <c r="M144" s="4">
        <v>14.611000000000001</v>
      </c>
      <c r="N144" s="4">
        <v>14.611000000000001</v>
      </c>
      <c r="O144" s="4">
        <v>14.611000000000001</v>
      </c>
      <c r="P144" s="4">
        <v>123</v>
      </c>
      <c r="Q144" s="3" t="s">
        <v>26</v>
      </c>
      <c r="R144" s="3">
        <v>0</v>
      </c>
      <c r="S144" s="4">
        <v>0</v>
      </c>
      <c r="T144" s="4">
        <v>21</v>
      </c>
      <c r="U144" s="4">
        <v>59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214.6</v>
      </c>
      <c r="X144" s="4">
        <f>IF(ISERROR(VLOOKUP($U$144,'TAR FIN'!$A$1:$O$88,15,0)),0,VLOOKUP($U$144,'TAR FIN'!$A$1:$O$88,15,0))</f>
        <v>218.11</v>
      </c>
      <c r="Y144" s="4"/>
      <c r="Z144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44" s="4">
        <f>('TE BE'!$AB$13+'TE BF'!$AB$13+'TE CVA'!$AB$13)*(1-CUSTOS!$M$36)</f>
        <v>171.9067626568409</v>
      </c>
      <c r="AB144" s="4">
        <f>$K$144*$V$144</f>
        <v>0</v>
      </c>
      <c r="AC144" s="4">
        <f>$M$144*$W$144</f>
        <v>3135.5205999999998</v>
      </c>
      <c r="AD144" s="4">
        <f>$O$144*$X$144</f>
        <v>3186.8052100000004</v>
      </c>
      <c r="AE144" s="4">
        <f>$K$144*$Y$144</f>
        <v>0</v>
      </c>
      <c r="AF144" s="4">
        <f ca="1">$M$144*$Z$144</f>
        <v>4562.0134349081027</v>
      </c>
      <c r="AG144" s="4">
        <f>$O$144*$AA$144</f>
        <v>2511.7297091791024</v>
      </c>
    </row>
    <row r="145" spans="1:33" ht="11.25" customHeight="1" x14ac:dyDescent="0.3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31</v>
      </c>
      <c r="F145" s="3" t="s">
        <v>25</v>
      </c>
      <c r="G145" s="3" t="s">
        <v>25</v>
      </c>
      <c r="H145" s="3" t="s">
        <v>25</v>
      </c>
      <c r="I145" s="6">
        <v>44743</v>
      </c>
      <c r="J145" s="4">
        <v>0</v>
      </c>
      <c r="K145" s="4">
        <v>0</v>
      </c>
      <c r="L145" s="4">
        <v>14.917</v>
      </c>
      <c r="M145" s="4">
        <v>14.917</v>
      </c>
      <c r="N145" s="4">
        <v>14.917</v>
      </c>
      <c r="O145" s="4">
        <v>14.917</v>
      </c>
      <c r="P145" s="4">
        <v>124</v>
      </c>
      <c r="Q145" s="3" t="s">
        <v>26</v>
      </c>
      <c r="R145" s="3">
        <v>0</v>
      </c>
      <c r="S145" s="4">
        <v>0</v>
      </c>
      <c r="T145" s="4">
        <v>21</v>
      </c>
      <c r="U145" s="4">
        <v>59</v>
      </c>
      <c r="V145" s="4">
        <f>IF(ISERROR(VLOOKUP($S$145,'TAR FIN'!$A$1:$O$88,15,0)),0,VLOOKUP($S$145,'TAR FIN'!$A$1:$O$88,15,0))</f>
        <v>0</v>
      </c>
      <c r="W145" s="4">
        <f>IF(ISERROR(VLOOKUP($T$145,'TAR FIN'!$A$1:$O$88,15,0)),0,VLOOKUP($T$145,'TAR FIN'!$A$1:$O$88,15,0))</f>
        <v>214.6</v>
      </c>
      <c r="X145" s="4">
        <f>IF(ISERROR(VLOOKUP($U$145,'TAR FIN'!$A$1:$O$88,15,0)),0,VLOOKUP($U$145,'TAR FIN'!$A$1:$O$88,15,0))</f>
        <v>218.11</v>
      </c>
      <c r="Y145" s="4"/>
      <c r="Z145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45" s="4">
        <f>('TE BE'!$AB$13+'TE BF'!$AB$13+'TE CVA'!$AB$13)*(1-CUSTOS!$M$36)</f>
        <v>171.9067626568409</v>
      </c>
      <c r="AB145" s="4">
        <f>$K$145*$V$145</f>
        <v>0</v>
      </c>
      <c r="AC145" s="4">
        <f>$M$145*$W$145</f>
        <v>3201.1882000000001</v>
      </c>
      <c r="AD145" s="4">
        <f>$O$145*$X$145</f>
        <v>3253.5468700000001</v>
      </c>
      <c r="AE145" s="4">
        <f>$K$145*$Y$145</f>
        <v>0</v>
      </c>
      <c r="AF145" s="4">
        <f ca="1">$M$145*$Z$145</f>
        <v>4657.5562527222064</v>
      </c>
      <c r="AG145" s="4">
        <f>$O$145*$AA$145</f>
        <v>2564.3331785520954</v>
      </c>
    </row>
    <row r="146" spans="1:33" ht="11.25" customHeight="1" x14ac:dyDescent="0.3">
      <c r="A146" s="3" t="s">
        <v>55</v>
      </c>
      <c r="B146" s="3" t="s">
        <v>22</v>
      </c>
      <c r="C146" s="3" t="s">
        <v>23</v>
      </c>
      <c r="D146" s="3" t="s">
        <v>24</v>
      </c>
      <c r="E146" s="3" t="s">
        <v>31</v>
      </c>
      <c r="F146" s="3" t="s">
        <v>25</v>
      </c>
      <c r="G146" s="3" t="s">
        <v>25</v>
      </c>
      <c r="H146" s="3" t="s">
        <v>25</v>
      </c>
      <c r="I146" s="6">
        <v>44774</v>
      </c>
      <c r="J146" s="4">
        <v>0</v>
      </c>
      <c r="K146" s="4">
        <v>0</v>
      </c>
      <c r="L146" s="4">
        <v>14.917</v>
      </c>
      <c r="M146" s="4">
        <v>14.917</v>
      </c>
      <c r="N146" s="4">
        <v>14.917</v>
      </c>
      <c r="O146" s="4">
        <v>14.917</v>
      </c>
      <c r="P146" s="4">
        <v>124</v>
      </c>
      <c r="Q146" s="3" t="s">
        <v>26</v>
      </c>
      <c r="R146" s="3">
        <v>0</v>
      </c>
      <c r="S146" s="4">
        <v>0</v>
      </c>
      <c r="T146" s="4">
        <v>21</v>
      </c>
      <c r="U146" s="4">
        <v>59</v>
      </c>
      <c r="V146" s="4">
        <f>IF(ISERROR(VLOOKUP($S$146,'TAR FIN'!$A$1:$O$88,15,0)),0,VLOOKUP($S$146,'TAR FIN'!$A$1:$O$88,15,0))</f>
        <v>0</v>
      </c>
      <c r="W146" s="4">
        <f>IF(ISERROR(VLOOKUP($T$146,'TAR FIN'!$A$1:$O$88,15,0)),0,VLOOKUP($T$146,'TAR FIN'!$A$1:$O$88,15,0))</f>
        <v>214.6</v>
      </c>
      <c r="X146" s="4">
        <f>IF(ISERROR(VLOOKUP($U$146,'TAR FIN'!$A$1:$O$88,15,0)),0,VLOOKUP($U$146,'TAR FIN'!$A$1:$O$88,15,0))</f>
        <v>218.11</v>
      </c>
      <c r="Y146" s="4"/>
      <c r="Z146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146" s="4">
        <f>('TE BE'!$AB$13+'TE BF'!$AB$13+'TE CVA'!$AB$13)*(1-CUSTOS!$M$36)</f>
        <v>171.9067626568409</v>
      </c>
      <c r="AB146" s="4">
        <f>$K$146*$V$146</f>
        <v>0</v>
      </c>
      <c r="AC146" s="4">
        <f>$M$146*$W$146</f>
        <v>3201.1882000000001</v>
      </c>
      <c r="AD146" s="4">
        <f>$O$146*$X$146</f>
        <v>3253.5468700000001</v>
      </c>
      <c r="AE146" s="4">
        <f>$K$146*$Y$146</f>
        <v>0</v>
      </c>
      <c r="AF146" s="4">
        <f ca="1">$M$146*$Z$146</f>
        <v>4657.5562527222064</v>
      </c>
      <c r="AG146" s="4">
        <f>$O$146*$AA$146</f>
        <v>2564.3331785520954</v>
      </c>
    </row>
    <row r="147" spans="1:33" ht="11.25" customHeight="1" x14ac:dyDescent="0.3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32</v>
      </c>
      <c r="F147" s="3" t="s">
        <v>25</v>
      </c>
      <c r="G147" s="3" t="s">
        <v>25</v>
      </c>
      <c r="H147" s="3" t="s">
        <v>25</v>
      </c>
      <c r="I147" s="6">
        <v>44440</v>
      </c>
      <c r="J147" s="4">
        <v>0</v>
      </c>
      <c r="K147" s="4">
        <v>0</v>
      </c>
      <c r="L147" s="4">
        <v>1.9179999999999999</v>
      </c>
      <c r="M147" s="4">
        <v>1.9179999999999999</v>
      </c>
      <c r="N147" s="4">
        <v>1.9179999999999999</v>
      </c>
      <c r="O147" s="4">
        <v>1.9179999999999999</v>
      </c>
      <c r="P147" s="4">
        <v>30</v>
      </c>
      <c r="Q147" s="3" t="s">
        <v>26</v>
      </c>
      <c r="R147" s="3">
        <v>0</v>
      </c>
      <c r="S147" s="4">
        <v>0</v>
      </c>
      <c r="T147" s="4">
        <v>22</v>
      </c>
      <c r="U147" s="4">
        <v>60</v>
      </c>
      <c r="V147" s="4">
        <f>IF(ISERROR(VLOOKUP($S$147,'TAR FIN'!$A$1:$O$88,15,0)),0,VLOOKUP($S$147,'TAR FIN'!$A$1:$O$88,15,0))</f>
        <v>0</v>
      </c>
      <c r="W147" s="4">
        <f>IF(ISERROR(VLOOKUP($T$147,'TAR FIN'!$A$1:$O$88,15,0)),0,VLOOKUP($T$147,'TAR FIN'!$A$1:$O$88,15,0))</f>
        <v>238.45</v>
      </c>
      <c r="X147" s="4">
        <f>IF(ISERROR(VLOOKUP($U$147,'TAR FIN'!$A$1:$O$88,15,0)),0,VLOOKUP($U$147,'TAR FIN'!$A$1:$O$88,15,0))</f>
        <v>242.35</v>
      </c>
      <c r="Y147" s="4"/>
      <c r="Z147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47" s="4">
        <f>('TE BE'!$AB$14+'TE BF'!$AB$14+'TE CVA'!$AB$14)*(1-CUSTOS!$M$37)</f>
        <v>191.00751406315655</v>
      </c>
      <c r="AB147" s="4">
        <f>$K$147*$V$147</f>
        <v>0</v>
      </c>
      <c r="AC147" s="4">
        <f>$M$147*$W$147</f>
        <v>457.34709999999995</v>
      </c>
      <c r="AD147" s="4">
        <f>$O$147*$X$147</f>
        <v>464.82729999999998</v>
      </c>
      <c r="AE147" s="4">
        <f>$K$147*$Y$147</f>
        <v>0</v>
      </c>
      <c r="AF147" s="4">
        <f ca="1">$M$147*$Z$147</f>
        <v>665.39987134151136</v>
      </c>
      <c r="AG147" s="4">
        <f>$O$147*$AA$147</f>
        <v>366.35241197313422</v>
      </c>
    </row>
    <row r="148" spans="1:33" ht="11.25" customHeight="1" x14ac:dyDescent="0.3">
      <c r="A148" s="3" t="s">
        <v>27</v>
      </c>
      <c r="B148" s="3" t="s">
        <v>22</v>
      </c>
      <c r="C148" s="3" t="s">
        <v>23</v>
      </c>
      <c r="D148" s="3" t="s">
        <v>24</v>
      </c>
      <c r="E148" s="3" t="s">
        <v>32</v>
      </c>
      <c r="F148" s="3" t="s">
        <v>25</v>
      </c>
      <c r="G148" s="3" t="s">
        <v>25</v>
      </c>
      <c r="H148" s="3" t="s">
        <v>25</v>
      </c>
      <c r="I148" s="6">
        <v>44440</v>
      </c>
      <c r="J148" s="4">
        <v>0</v>
      </c>
      <c r="K148" s="4">
        <v>0</v>
      </c>
      <c r="L148" s="4">
        <v>-8.9999999999999993E-3</v>
      </c>
      <c r="M148" s="4">
        <v>-8.9999999999999993E-3</v>
      </c>
      <c r="N148" s="4">
        <v>-8.9999999999999993E-3</v>
      </c>
      <c r="O148" s="4">
        <v>-8.9999999999999993E-3</v>
      </c>
      <c r="P148" s="4">
        <v>0</v>
      </c>
      <c r="Q148" s="3" t="s">
        <v>26</v>
      </c>
      <c r="R148" s="3">
        <v>0</v>
      </c>
      <c r="S148" s="4">
        <v>0</v>
      </c>
      <c r="T148" s="4">
        <v>22</v>
      </c>
      <c r="U148" s="4">
        <v>60</v>
      </c>
      <c r="V148" s="4">
        <f>IF(ISERROR(VLOOKUP($S$148,'TAR FIN'!$A$1:$O$88,15,0)),0,VLOOKUP($S$148,'TAR FIN'!$A$1:$O$88,15,0))</f>
        <v>0</v>
      </c>
      <c r="W148" s="4">
        <f>IF(ISERROR(VLOOKUP($T$148,'TAR FIN'!$A$1:$O$88,15,0)),0,VLOOKUP($T$148,'TAR FIN'!$A$1:$O$88,15,0))</f>
        <v>238.45</v>
      </c>
      <c r="X148" s="4">
        <f>IF(ISERROR(VLOOKUP($U$148,'TAR FIN'!$A$1:$O$88,15,0)),0,VLOOKUP($U$148,'TAR FIN'!$A$1:$O$88,15,0))</f>
        <v>242.35</v>
      </c>
      <c r="Y148" s="4"/>
      <c r="Z148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48" s="4">
        <f>('TE BE'!$AB$14+'TE BF'!$AB$14+'TE CVA'!$AB$14)*(1-CUSTOS!$M$37)</f>
        <v>191.00751406315655</v>
      </c>
      <c r="AB148" s="4">
        <f>$K$148*$V$148</f>
        <v>0</v>
      </c>
      <c r="AC148" s="4">
        <f>$M$148*$W$148</f>
        <v>-2.1460499999999998</v>
      </c>
      <c r="AD148" s="4">
        <f>$O$148*$X$148</f>
        <v>-2.1811499999999997</v>
      </c>
      <c r="AE148" s="4">
        <f>$K$148*$Y$148</f>
        <v>0</v>
      </c>
      <c r="AF148" s="4">
        <f ca="1">$M$148*$Z$148</f>
        <v>-3.1223143076504702</v>
      </c>
      <c r="AG148" s="4">
        <f>$O$148*$AA$148</f>
        <v>-1.7190676265684088</v>
      </c>
    </row>
    <row r="149" spans="1:33" ht="11.25" customHeight="1" x14ac:dyDescent="0.3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32</v>
      </c>
      <c r="F149" s="3" t="s">
        <v>25</v>
      </c>
      <c r="G149" s="3" t="s">
        <v>25</v>
      </c>
      <c r="H149" s="3" t="s">
        <v>25</v>
      </c>
      <c r="I149" s="6">
        <v>44470</v>
      </c>
      <c r="J149" s="4">
        <v>0</v>
      </c>
      <c r="K149" s="4">
        <v>0</v>
      </c>
      <c r="L149" s="4">
        <v>3.2509999999999999</v>
      </c>
      <c r="M149" s="4">
        <v>3.2509999999999999</v>
      </c>
      <c r="N149" s="4">
        <v>3.2509999999999999</v>
      </c>
      <c r="O149" s="4">
        <v>3.2509999999999999</v>
      </c>
      <c r="P149" s="4">
        <v>39</v>
      </c>
      <c r="Q149" s="3" t="s">
        <v>26</v>
      </c>
      <c r="R149" s="3">
        <v>0</v>
      </c>
      <c r="S149" s="4">
        <v>0</v>
      </c>
      <c r="T149" s="4">
        <v>22</v>
      </c>
      <c r="U149" s="4">
        <v>60</v>
      </c>
      <c r="V149" s="4">
        <f>IF(ISERROR(VLOOKUP($S$149,'TAR FIN'!$A$1:$O$88,15,0)),0,VLOOKUP($S$149,'TAR FIN'!$A$1:$O$88,15,0))</f>
        <v>0</v>
      </c>
      <c r="W149" s="4">
        <f>IF(ISERROR(VLOOKUP($T$149,'TAR FIN'!$A$1:$O$88,15,0)),0,VLOOKUP($T$149,'TAR FIN'!$A$1:$O$88,15,0))</f>
        <v>238.45</v>
      </c>
      <c r="X149" s="4">
        <f>IF(ISERROR(VLOOKUP($U$149,'TAR FIN'!$A$1:$O$88,15,0)),0,VLOOKUP($U$149,'TAR FIN'!$A$1:$O$88,15,0))</f>
        <v>242.35</v>
      </c>
      <c r="Y149" s="4"/>
      <c r="Z149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49" s="4">
        <f>('TE BE'!$AB$14+'TE BF'!$AB$14+'TE CVA'!$AB$14)*(1-CUSTOS!$M$37)</f>
        <v>191.00751406315655</v>
      </c>
      <c r="AB149" s="4">
        <f>$K$149*$V$149</f>
        <v>0</v>
      </c>
      <c r="AC149" s="4">
        <f>$M$149*$W$149</f>
        <v>775.20094999999992</v>
      </c>
      <c r="AD149" s="4">
        <f>$O$149*$X$149</f>
        <v>787.87984999999992</v>
      </c>
      <c r="AE149" s="4">
        <f>$K$149*$Y$149</f>
        <v>0</v>
      </c>
      <c r="AF149" s="4">
        <f ca="1">$M$149*$Z$149</f>
        <v>1127.849312685742</v>
      </c>
      <c r="AG149" s="4">
        <f>$O$149*$AA$149</f>
        <v>620.96542821932189</v>
      </c>
    </row>
    <row r="150" spans="1:33" ht="11.25" customHeight="1" x14ac:dyDescent="0.3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32</v>
      </c>
      <c r="F150" s="3" t="s">
        <v>25</v>
      </c>
      <c r="G150" s="3" t="s">
        <v>25</v>
      </c>
      <c r="H150" s="3" t="s">
        <v>25</v>
      </c>
      <c r="I150" s="6">
        <v>44501</v>
      </c>
      <c r="J150" s="4">
        <v>0</v>
      </c>
      <c r="K150" s="4">
        <v>0</v>
      </c>
      <c r="L150" s="4">
        <v>2.9319999999999999</v>
      </c>
      <c r="M150" s="4">
        <v>2.9319999999999999</v>
      </c>
      <c r="N150" s="4">
        <v>2.9319999999999999</v>
      </c>
      <c r="O150" s="4">
        <v>2.9319999999999999</v>
      </c>
      <c r="P150" s="4">
        <v>36</v>
      </c>
      <c r="Q150" s="3" t="s">
        <v>26</v>
      </c>
      <c r="R150" s="3">
        <v>0</v>
      </c>
      <c r="S150" s="4">
        <v>0</v>
      </c>
      <c r="T150" s="4">
        <v>22</v>
      </c>
      <c r="U150" s="4">
        <v>60</v>
      </c>
      <c r="V150" s="4">
        <f>IF(ISERROR(VLOOKUP($S$150,'TAR FIN'!$A$1:$O$88,15,0)),0,VLOOKUP($S$150,'TAR FIN'!$A$1:$O$88,15,0))</f>
        <v>0</v>
      </c>
      <c r="W150" s="4">
        <f>IF(ISERROR(VLOOKUP($T$150,'TAR FIN'!$A$1:$O$88,15,0)),0,VLOOKUP($T$150,'TAR FIN'!$A$1:$O$88,15,0))</f>
        <v>238.45</v>
      </c>
      <c r="X150" s="4">
        <f>IF(ISERROR(VLOOKUP($U$150,'TAR FIN'!$A$1:$O$88,15,0)),0,VLOOKUP($U$150,'TAR FIN'!$A$1:$O$88,15,0))</f>
        <v>242.35</v>
      </c>
      <c r="Y150" s="4"/>
      <c r="Z150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0" s="4">
        <f>('TE BE'!$AB$14+'TE BF'!$AB$14+'TE CVA'!$AB$14)*(1-CUSTOS!$M$37)</f>
        <v>191.00751406315655</v>
      </c>
      <c r="AB150" s="4">
        <f>$K$150*$V$150</f>
        <v>0</v>
      </c>
      <c r="AC150" s="4">
        <f>$M$150*$W$150</f>
        <v>699.1354</v>
      </c>
      <c r="AD150" s="4">
        <f>$O$150*$X$150</f>
        <v>710.5702</v>
      </c>
      <c r="AE150" s="4">
        <f>$K$150*$Y$150</f>
        <v>0</v>
      </c>
      <c r="AF150" s="4">
        <f ca="1">$M$150*$Z$150</f>
        <v>1017.180616670131</v>
      </c>
      <c r="AG150" s="4">
        <f>$O$150*$AA$150</f>
        <v>560.03403123317503</v>
      </c>
    </row>
    <row r="151" spans="1:33" ht="11.25" customHeight="1" x14ac:dyDescent="0.3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32</v>
      </c>
      <c r="F151" s="3" t="s">
        <v>25</v>
      </c>
      <c r="G151" s="3" t="s">
        <v>25</v>
      </c>
      <c r="H151" s="3" t="s">
        <v>25</v>
      </c>
      <c r="I151" s="6">
        <v>44531</v>
      </c>
      <c r="J151" s="4">
        <v>0</v>
      </c>
      <c r="K151" s="4">
        <v>0</v>
      </c>
      <c r="L151" s="4">
        <v>2.6139999999999999</v>
      </c>
      <c r="M151" s="4">
        <v>2.6139999999999999</v>
      </c>
      <c r="N151" s="4">
        <v>2.6139999999999999</v>
      </c>
      <c r="O151" s="4">
        <v>2.6139999999999999</v>
      </c>
      <c r="P151" s="4">
        <v>34</v>
      </c>
      <c r="Q151" s="3" t="s">
        <v>26</v>
      </c>
      <c r="R151" s="3">
        <v>0</v>
      </c>
      <c r="S151" s="4">
        <v>0</v>
      </c>
      <c r="T151" s="4">
        <v>22</v>
      </c>
      <c r="U151" s="4">
        <v>60</v>
      </c>
      <c r="V151" s="4">
        <f>IF(ISERROR(VLOOKUP($S$151,'TAR FIN'!$A$1:$O$88,15,0)),0,VLOOKUP($S$151,'TAR FIN'!$A$1:$O$88,15,0))</f>
        <v>0</v>
      </c>
      <c r="W151" s="4">
        <f>IF(ISERROR(VLOOKUP($T$151,'TAR FIN'!$A$1:$O$88,15,0)),0,VLOOKUP($T$151,'TAR FIN'!$A$1:$O$88,15,0))</f>
        <v>238.45</v>
      </c>
      <c r="X151" s="4">
        <f>IF(ISERROR(VLOOKUP($U$151,'TAR FIN'!$A$1:$O$88,15,0)),0,VLOOKUP($U$151,'TAR FIN'!$A$1:$O$88,15,0))</f>
        <v>242.35</v>
      </c>
      <c r="Y151" s="4"/>
      <c r="Z151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1" s="4">
        <f>('TE BE'!$AB$14+'TE BF'!$AB$14+'TE CVA'!$AB$14)*(1-CUSTOS!$M$37)</f>
        <v>191.00751406315655</v>
      </c>
      <c r="AB151" s="4">
        <f>$K$151*$V$151</f>
        <v>0</v>
      </c>
      <c r="AC151" s="4">
        <f>$M$151*$W$151</f>
        <v>623.30829999999992</v>
      </c>
      <c r="AD151" s="4">
        <f>$O$151*$X$151</f>
        <v>633.50289999999995</v>
      </c>
      <c r="AE151" s="4">
        <f>$K$151*$Y$151</f>
        <v>0</v>
      </c>
      <c r="AF151" s="4">
        <f ca="1">$M$151*$Z$151</f>
        <v>906.85884446648106</v>
      </c>
      <c r="AG151" s="4">
        <f>$O$151*$AA$151</f>
        <v>499.29364176109118</v>
      </c>
    </row>
    <row r="152" spans="1:33" ht="11.25" customHeight="1" x14ac:dyDescent="0.3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32</v>
      </c>
      <c r="F152" s="3" t="s">
        <v>25</v>
      </c>
      <c r="G152" s="3" t="s">
        <v>25</v>
      </c>
      <c r="H152" s="3" t="s">
        <v>25</v>
      </c>
      <c r="I152" s="6">
        <v>44562</v>
      </c>
      <c r="J152" s="4">
        <v>0</v>
      </c>
      <c r="K152" s="4">
        <v>0</v>
      </c>
      <c r="L152" s="4">
        <v>4.2629999999999999</v>
      </c>
      <c r="M152" s="4">
        <v>4.2629999999999999</v>
      </c>
      <c r="N152" s="4">
        <v>4.2629999999999999</v>
      </c>
      <c r="O152" s="4">
        <v>4.2629999999999999</v>
      </c>
      <c r="P152" s="4">
        <v>53</v>
      </c>
      <c r="Q152" s="3" t="s">
        <v>26</v>
      </c>
      <c r="R152" s="3">
        <v>0</v>
      </c>
      <c r="S152" s="4">
        <v>0</v>
      </c>
      <c r="T152" s="4">
        <v>22</v>
      </c>
      <c r="U152" s="4">
        <v>60</v>
      </c>
      <c r="V152" s="4">
        <f>IF(ISERROR(VLOOKUP($S$152,'TAR FIN'!$A$1:$O$88,15,0)),0,VLOOKUP($S$152,'TAR FIN'!$A$1:$O$88,15,0))</f>
        <v>0</v>
      </c>
      <c r="W152" s="4">
        <f>IF(ISERROR(VLOOKUP($T$152,'TAR FIN'!$A$1:$O$88,15,0)),0,VLOOKUP($T$152,'TAR FIN'!$A$1:$O$88,15,0))</f>
        <v>238.45</v>
      </c>
      <c r="X152" s="4">
        <f>IF(ISERROR(VLOOKUP($U$152,'TAR FIN'!$A$1:$O$88,15,0)),0,VLOOKUP($U$152,'TAR FIN'!$A$1:$O$88,15,0))</f>
        <v>242.35</v>
      </c>
      <c r="Y152" s="4"/>
      <c r="Z152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2" s="4">
        <f>('TE BE'!$AB$14+'TE BF'!$AB$14+'TE CVA'!$AB$14)*(1-CUSTOS!$M$37)</f>
        <v>191.00751406315655</v>
      </c>
      <c r="AB152" s="4">
        <f>$K$152*$V$152</f>
        <v>0</v>
      </c>
      <c r="AC152" s="4">
        <f>$M$152*$W$152</f>
        <v>1016.51235</v>
      </c>
      <c r="AD152" s="4">
        <f>$O$152*$X$152</f>
        <v>1033.13805</v>
      </c>
      <c r="AE152" s="4">
        <f>$K$152*$Y$152</f>
        <v>0</v>
      </c>
      <c r="AF152" s="4">
        <f ca="1">$M$152*$Z$152</f>
        <v>1478.9362103904396</v>
      </c>
      <c r="AG152" s="4">
        <f>$O$152*$AA$152</f>
        <v>814.26503245123638</v>
      </c>
    </row>
    <row r="153" spans="1:33" ht="11.25" customHeight="1" x14ac:dyDescent="0.3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32</v>
      </c>
      <c r="F153" s="3" t="s">
        <v>25</v>
      </c>
      <c r="G153" s="3" t="s">
        <v>25</v>
      </c>
      <c r="H153" s="3" t="s">
        <v>25</v>
      </c>
      <c r="I153" s="6">
        <v>44593</v>
      </c>
      <c r="J153" s="4">
        <v>0</v>
      </c>
      <c r="K153" s="4">
        <v>0</v>
      </c>
      <c r="L153" s="4">
        <v>9.2530000000000001</v>
      </c>
      <c r="M153" s="4">
        <v>9.2530000000000001</v>
      </c>
      <c r="N153" s="4">
        <v>9.2530000000000001</v>
      </c>
      <c r="O153" s="4">
        <v>9.2530000000000001</v>
      </c>
      <c r="P153" s="4">
        <v>76</v>
      </c>
      <c r="Q153" s="3" t="s">
        <v>26</v>
      </c>
      <c r="R153" s="3">
        <v>0</v>
      </c>
      <c r="S153" s="4">
        <v>0</v>
      </c>
      <c r="T153" s="4">
        <v>22</v>
      </c>
      <c r="U153" s="4">
        <v>60</v>
      </c>
      <c r="V153" s="4">
        <f>IF(ISERROR(VLOOKUP($S$153,'TAR FIN'!$A$1:$O$88,15,0)),0,VLOOKUP($S$153,'TAR FIN'!$A$1:$O$88,15,0))</f>
        <v>0</v>
      </c>
      <c r="W153" s="4">
        <f>IF(ISERROR(VLOOKUP($T$153,'TAR FIN'!$A$1:$O$88,15,0)),0,VLOOKUP($T$153,'TAR FIN'!$A$1:$O$88,15,0))</f>
        <v>238.45</v>
      </c>
      <c r="X153" s="4">
        <f>IF(ISERROR(VLOOKUP($U$153,'TAR FIN'!$A$1:$O$88,15,0)),0,VLOOKUP($U$153,'TAR FIN'!$A$1:$O$88,15,0))</f>
        <v>242.35</v>
      </c>
      <c r="Y153" s="4"/>
      <c r="Z153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3" s="4">
        <f>('TE BE'!$AB$14+'TE BF'!$AB$14+'TE CVA'!$AB$14)*(1-CUSTOS!$M$37)</f>
        <v>191.00751406315655</v>
      </c>
      <c r="AB153" s="4">
        <f>$K$153*$V$153</f>
        <v>0</v>
      </c>
      <c r="AC153" s="4">
        <f>$M$153*$W$153</f>
        <v>2206.3778499999999</v>
      </c>
      <c r="AD153" s="4">
        <f>$O$153*$X$153</f>
        <v>2242.4645500000001</v>
      </c>
      <c r="AE153" s="4">
        <f>$K$153*$Y$153</f>
        <v>0</v>
      </c>
      <c r="AF153" s="4">
        <f ca="1">$M$153*$Z$153</f>
        <v>3210.0860320766446</v>
      </c>
      <c r="AG153" s="4">
        <f>$O$153*$AA$153</f>
        <v>1767.3925276263876</v>
      </c>
    </row>
    <row r="154" spans="1:33" ht="11.25" customHeight="1" x14ac:dyDescent="0.3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32</v>
      </c>
      <c r="F154" s="3" t="s">
        <v>25</v>
      </c>
      <c r="G154" s="3" t="s">
        <v>25</v>
      </c>
      <c r="H154" s="3" t="s">
        <v>25</v>
      </c>
      <c r="I154" s="6">
        <v>44621</v>
      </c>
      <c r="J154" s="4">
        <v>0</v>
      </c>
      <c r="K154" s="4">
        <v>0</v>
      </c>
      <c r="L154" s="4">
        <v>5.7759999999999998</v>
      </c>
      <c r="M154" s="4">
        <v>5.7759999999999998</v>
      </c>
      <c r="N154" s="4">
        <v>5.7759999999999998</v>
      </c>
      <c r="O154" s="4">
        <v>5.7759999999999998</v>
      </c>
      <c r="P154" s="4">
        <v>66</v>
      </c>
      <c r="Q154" s="3" t="s">
        <v>26</v>
      </c>
      <c r="R154" s="3">
        <v>0</v>
      </c>
      <c r="S154" s="4">
        <v>0</v>
      </c>
      <c r="T154" s="4">
        <v>22</v>
      </c>
      <c r="U154" s="4">
        <v>60</v>
      </c>
      <c r="V154" s="4">
        <f>IF(ISERROR(VLOOKUP($S$154,'TAR FIN'!$A$1:$O$88,15,0)),0,VLOOKUP($S$154,'TAR FIN'!$A$1:$O$88,15,0))</f>
        <v>0</v>
      </c>
      <c r="W154" s="4">
        <f>IF(ISERROR(VLOOKUP($T$154,'TAR FIN'!$A$1:$O$88,15,0)),0,VLOOKUP($T$154,'TAR FIN'!$A$1:$O$88,15,0))</f>
        <v>238.45</v>
      </c>
      <c r="X154" s="4">
        <f>IF(ISERROR(VLOOKUP($U$154,'TAR FIN'!$A$1:$O$88,15,0)),0,VLOOKUP($U$154,'TAR FIN'!$A$1:$O$88,15,0))</f>
        <v>242.35</v>
      </c>
      <c r="Y154" s="4"/>
      <c r="Z154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4" s="4">
        <f>('TE BE'!$AB$14+'TE BF'!$AB$14+'TE CVA'!$AB$14)*(1-CUSTOS!$M$37)</f>
        <v>191.00751406315655</v>
      </c>
      <c r="AB154" s="4">
        <f>$K$154*$V$154</f>
        <v>0</v>
      </c>
      <c r="AC154" s="4">
        <f>$M$154*$W$154</f>
        <v>1377.2872</v>
      </c>
      <c r="AD154" s="4">
        <f>$O$154*$X$154</f>
        <v>1399.8136</v>
      </c>
      <c r="AE154" s="4">
        <f>$K$154*$Y$154</f>
        <v>0</v>
      </c>
      <c r="AF154" s="4">
        <f ca="1">$M$154*$Z$154</f>
        <v>2003.8319378876797</v>
      </c>
      <c r="AG154" s="4">
        <f>$O$154*$AA$154</f>
        <v>1103.2594012287923</v>
      </c>
    </row>
    <row r="155" spans="1:33" ht="11.25" customHeight="1" x14ac:dyDescent="0.3">
      <c r="A155" s="3" t="s">
        <v>27</v>
      </c>
      <c r="B155" s="3" t="s">
        <v>22</v>
      </c>
      <c r="C155" s="3" t="s">
        <v>23</v>
      </c>
      <c r="D155" s="3" t="s">
        <v>24</v>
      </c>
      <c r="E155" s="3" t="s">
        <v>32</v>
      </c>
      <c r="F155" s="3" t="s">
        <v>25</v>
      </c>
      <c r="G155" s="3" t="s">
        <v>25</v>
      </c>
      <c r="H155" s="3" t="s">
        <v>25</v>
      </c>
      <c r="I155" s="6">
        <v>44621</v>
      </c>
      <c r="J155" s="4">
        <v>0</v>
      </c>
      <c r="K155" s="4">
        <v>0</v>
      </c>
      <c r="L155" s="4">
        <v>-0.21</v>
      </c>
      <c r="M155" s="4">
        <v>-0.21</v>
      </c>
      <c r="N155" s="4">
        <v>-0.21</v>
      </c>
      <c r="O155" s="4">
        <v>-0.21</v>
      </c>
      <c r="P155" s="4">
        <v>0</v>
      </c>
      <c r="Q155" s="3" t="s">
        <v>26</v>
      </c>
      <c r="R155" s="3">
        <v>0</v>
      </c>
      <c r="S155" s="4">
        <v>0</v>
      </c>
      <c r="T155" s="4">
        <v>22</v>
      </c>
      <c r="U155" s="4">
        <v>60</v>
      </c>
      <c r="V155" s="4">
        <f>IF(ISERROR(VLOOKUP($S$155,'TAR FIN'!$A$1:$O$88,15,0)),0,VLOOKUP($S$155,'TAR FIN'!$A$1:$O$88,15,0))</f>
        <v>0</v>
      </c>
      <c r="W155" s="4">
        <f>IF(ISERROR(VLOOKUP($T$155,'TAR FIN'!$A$1:$O$88,15,0)),0,VLOOKUP($T$155,'TAR FIN'!$A$1:$O$88,15,0))</f>
        <v>238.45</v>
      </c>
      <c r="X155" s="4">
        <f>IF(ISERROR(VLOOKUP($U$155,'TAR FIN'!$A$1:$O$88,15,0)),0,VLOOKUP($U$155,'TAR FIN'!$A$1:$O$88,15,0))</f>
        <v>242.35</v>
      </c>
      <c r="Y155" s="4"/>
      <c r="Z155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5" s="4">
        <f>('TE BE'!$AB$14+'TE BF'!$AB$14+'TE CVA'!$AB$14)*(1-CUSTOS!$M$37)</f>
        <v>191.00751406315655</v>
      </c>
      <c r="AB155" s="4">
        <f>$K$155*$V$155</f>
        <v>0</v>
      </c>
      <c r="AC155" s="4">
        <f>$M$155*$W$155</f>
        <v>-50.074499999999993</v>
      </c>
      <c r="AD155" s="4">
        <f>$O$155*$X$155</f>
        <v>-50.893499999999996</v>
      </c>
      <c r="AE155" s="4">
        <f>$K$155*$Y$155</f>
        <v>0</v>
      </c>
      <c r="AF155" s="4">
        <f ca="1">$M$155*$Z$155</f>
        <v>-72.854000511844305</v>
      </c>
      <c r="AG155" s="4">
        <f>$O$155*$AA$155</f>
        <v>-40.111577953262874</v>
      </c>
    </row>
    <row r="156" spans="1:33" ht="11.25" customHeight="1" x14ac:dyDescent="0.3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32</v>
      </c>
      <c r="F156" s="3" t="s">
        <v>25</v>
      </c>
      <c r="G156" s="3" t="s">
        <v>25</v>
      </c>
      <c r="H156" s="3" t="s">
        <v>25</v>
      </c>
      <c r="I156" s="6">
        <v>44652</v>
      </c>
      <c r="J156" s="4">
        <v>0</v>
      </c>
      <c r="K156" s="4">
        <v>0</v>
      </c>
      <c r="L156" s="4">
        <v>4.3879999999999999</v>
      </c>
      <c r="M156" s="4">
        <v>4.3879999999999999</v>
      </c>
      <c r="N156" s="4">
        <v>4.3879999999999999</v>
      </c>
      <c r="O156" s="4">
        <v>4.3879999999999999</v>
      </c>
      <c r="P156" s="4">
        <v>57</v>
      </c>
      <c r="Q156" s="3" t="s">
        <v>26</v>
      </c>
      <c r="R156" s="3">
        <v>0</v>
      </c>
      <c r="S156" s="4">
        <v>0</v>
      </c>
      <c r="T156" s="4">
        <v>22</v>
      </c>
      <c r="U156" s="4">
        <v>60</v>
      </c>
      <c r="V156" s="4">
        <f>IF(ISERROR(VLOOKUP($S$156,'TAR FIN'!$A$1:$O$88,15,0)),0,VLOOKUP($S$156,'TAR FIN'!$A$1:$O$88,15,0))</f>
        <v>0</v>
      </c>
      <c r="W156" s="4">
        <f>IF(ISERROR(VLOOKUP($T$156,'TAR FIN'!$A$1:$O$88,15,0)),0,VLOOKUP($T$156,'TAR FIN'!$A$1:$O$88,15,0))</f>
        <v>238.45</v>
      </c>
      <c r="X156" s="4">
        <f>IF(ISERROR(VLOOKUP($U$156,'TAR FIN'!$A$1:$O$88,15,0)),0,VLOOKUP($U$156,'TAR FIN'!$A$1:$O$88,15,0))</f>
        <v>242.35</v>
      </c>
      <c r="Y156" s="4"/>
      <c r="Z156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6" s="4">
        <f>('TE BE'!$AB$14+'TE BF'!$AB$14+'TE CVA'!$AB$14)*(1-CUSTOS!$M$37)</f>
        <v>191.00751406315655</v>
      </c>
      <c r="AB156" s="4">
        <f>$K$156*$V$156</f>
        <v>0</v>
      </c>
      <c r="AC156" s="4">
        <f>$M$156*$W$156</f>
        <v>1046.3185999999998</v>
      </c>
      <c r="AD156" s="4">
        <f>$O$156*$X$156</f>
        <v>1063.4317999999998</v>
      </c>
      <c r="AE156" s="4">
        <f>$K$156*$Y$156</f>
        <v>0</v>
      </c>
      <c r="AF156" s="4">
        <f ca="1">$M$156*$Z$156</f>
        <v>1522.3016868855848</v>
      </c>
      <c r="AG156" s="4">
        <f>$O$156*$AA$156</f>
        <v>838.14097170913089</v>
      </c>
    </row>
    <row r="157" spans="1:33" ht="11.25" customHeight="1" x14ac:dyDescent="0.3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32</v>
      </c>
      <c r="F157" s="3" t="s">
        <v>25</v>
      </c>
      <c r="G157" s="3" t="s">
        <v>25</v>
      </c>
      <c r="H157" s="3" t="s">
        <v>25</v>
      </c>
      <c r="I157" s="6">
        <v>44682</v>
      </c>
      <c r="J157" s="4">
        <v>0</v>
      </c>
      <c r="K157" s="4">
        <v>0</v>
      </c>
      <c r="L157" s="4">
        <v>2.4380000000000002</v>
      </c>
      <c r="M157" s="4">
        <v>2.4380000000000002</v>
      </c>
      <c r="N157" s="4">
        <v>2.4380000000000002</v>
      </c>
      <c r="O157" s="4">
        <v>2.4380000000000002</v>
      </c>
      <c r="P157" s="4">
        <v>37</v>
      </c>
      <c r="Q157" s="3" t="s">
        <v>26</v>
      </c>
      <c r="R157" s="3">
        <v>0</v>
      </c>
      <c r="S157" s="4">
        <v>0</v>
      </c>
      <c r="T157" s="4">
        <v>22</v>
      </c>
      <c r="U157" s="4">
        <v>60</v>
      </c>
      <c r="V157" s="4">
        <f>IF(ISERROR(VLOOKUP($S$157,'TAR FIN'!$A$1:$O$88,15,0)),0,VLOOKUP($S$157,'TAR FIN'!$A$1:$O$88,15,0))</f>
        <v>0</v>
      </c>
      <c r="W157" s="4">
        <f>IF(ISERROR(VLOOKUP($T$157,'TAR FIN'!$A$1:$O$88,15,0)),0,VLOOKUP($T$157,'TAR FIN'!$A$1:$O$88,15,0))</f>
        <v>238.45</v>
      </c>
      <c r="X157" s="4">
        <f>IF(ISERROR(VLOOKUP($U$157,'TAR FIN'!$A$1:$O$88,15,0)),0,VLOOKUP($U$157,'TAR FIN'!$A$1:$O$88,15,0))</f>
        <v>242.35</v>
      </c>
      <c r="Y157" s="4"/>
      <c r="Z157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7" s="4">
        <f>('TE BE'!$AB$14+'TE BF'!$AB$14+'TE CVA'!$AB$14)*(1-CUSTOS!$M$37)</f>
        <v>191.00751406315655</v>
      </c>
      <c r="AB157" s="4">
        <f>$K$157*$V$157</f>
        <v>0</v>
      </c>
      <c r="AC157" s="4">
        <f>$M$157*$W$157</f>
        <v>581.34109999999998</v>
      </c>
      <c r="AD157" s="4">
        <f>$O$157*$X$157</f>
        <v>590.84929999999997</v>
      </c>
      <c r="AE157" s="4">
        <f>$K$157*$Y$157</f>
        <v>0</v>
      </c>
      <c r="AF157" s="4">
        <f ca="1">$M$157*$Z$157</f>
        <v>845.80025356131637</v>
      </c>
      <c r="AG157" s="4">
        <f>$O$157*$AA$157</f>
        <v>465.67631928597569</v>
      </c>
    </row>
    <row r="158" spans="1:33" ht="11.25" customHeight="1" x14ac:dyDescent="0.3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32</v>
      </c>
      <c r="F158" s="3" t="s">
        <v>25</v>
      </c>
      <c r="G158" s="3" t="s">
        <v>25</v>
      </c>
      <c r="H158" s="3" t="s">
        <v>25</v>
      </c>
      <c r="I158" s="6">
        <v>44713</v>
      </c>
      <c r="J158" s="4">
        <v>0</v>
      </c>
      <c r="K158" s="4">
        <v>0</v>
      </c>
      <c r="L158" s="4">
        <v>3.9569999999999999</v>
      </c>
      <c r="M158" s="4">
        <v>3.9569999999999999</v>
      </c>
      <c r="N158" s="4">
        <v>3.9569999999999999</v>
      </c>
      <c r="O158" s="4">
        <v>3.9569999999999999</v>
      </c>
      <c r="P158" s="4">
        <v>65</v>
      </c>
      <c r="Q158" s="3" t="s">
        <v>26</v>
      </c>
      <c r="R158" s="3">
        <v>0</v>
      </c>
      <c r="S158" s="4">
        <v>0</v>
      </c>
      <c r="T158" s="4">
        <v>22</v>
      </c>
      <c r="U158" s="4">
        <v>60</v>
      </c>
      <c r="V158" s="4">
        <f>IF(ISERROR(VLOOKUP($S$158,'TAR FIN'!$A$1:$O$88,15,0)),0,VLOOKUP($S$158,'TAR FIN'!$A$1:$O$88,15,0))</f>
        <v>0</v>
      </c>
      <c r="W158" s="4">
        <f>IF(ISERROR(VLOOKUP($T$158,'TAR FIN'!$A$1:$O$88,15,0)),0,VLOOKUP($T$158,'TAR FIN'!$A$1:$O$88,15,0))</f>
        <v>238.45</v>
      </c>
      <c r="X158" s="4">
        <f>IF(ISERROR(VLOOKUP($U$158,'TAR FIN'!$A$1:$O$88,15,0)),0,VLOOKUP($U$158,'TAR FIN'!$A$1:$O$88,15,0))</f>
        <v>242.35</v>
      </c>
      <c r="Y158" s="4"/>
      <c r="Z158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8" s="4">
        <f>('TE BE'!$AB$14+'TE BF'!$AB$14+'TE CVA'!$AB$14)*(1-CUSTOS!$M$37)</f>
        <v>191.00751406315655</v>
      </c>
      <c r="AB158" s="4">
        <f>$K$158*$V$158</f>
        <v>0</v>
      </c>
      <c r="AC158" s="4">
        <f>$M$158*$W$158</f>
        <v>943.54664999999989</v>
      </c>
      <c r="AD158" s="4">
        <f>$O$158*$X$158</f>
        <v>958.97894999999994</v>
      </c>
      <c r="AE158" s="4">
        <f>$K$158*$Y$158</f>
        <v>0</v>
      </c>
      <c r="AF158" s="4">
        <f ca="1">$M$158*$Z$158</f>
        <v>1372.7775239303235</v>
      </c>
      <c r="AG158" s="4">
        <f>$O$158*$AA$158</f>
        <v>755.81673314791044</v>
      </c>
    </row>
    <row r="159" spans="1:33" ht="11.25" customHeight="1" x14ac:dyDescent="0.3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32</v>
      </c>
      <c r="F159" s="3" t="s">
        <v>25</v>
      </c>
      <c r="G159" s="3" t="s">
        <v>25</v>
      </c>
      <c r="H159" s="3" t="s">
        <v>25</v>
      </c>
      <c r="I159" s="6">
        <v>44743</v>
      </c>
      <c r="J159" s="4">
        <v>0</v>
      </c>
      <c r="K159" s="4">
        <v>0</v>
      </c>
      <c r="L159" s="4">
        <v>4.8789999999999996</v>
      </c>
      <c r="M159" s="4">
        <v>4.8789999999999996</v>
      </c>
      <c r="N159" s="4">
        <v>4.8789999999999996</v>
      </c>
      <c r="O159" s="4">
        <v>4.8789999999999996</v>
      </c>
      <c r="P159" s="4">
        <v>65</v>
      </c>
      <c r="Q159" s="3" t="s">
        <v>26</v>
      </c>
      <c r="R159" s="3">
        <v>0</v>
      </c>
      <c r="S159" s="4">
        <v>0</v>
      </c>
      <c r="T159" s="4">
        <v>22</v>
      </c>
      <c r="U159" s="4">
        <v>60</v>
      </c>
      <c r="V159" s="4">
        <f>IF(ISERROR(VLOOKUP($S$159,'TAR FIN'!$A$1:$O$88,15,0)),0,VLOOKUP($S$159,'TAR FIN'!$A$1:$O$88,15,0))</f>
        <v>0</v>
      </c>
      <c r="W159" s="4">
        <f>IF(ISERROR(VLOOKUP($T$159,'TAR FIN'!$A$1:$O$88,15,0)),0,VLOOKUP($T$159,'TAR FIN'!$A$1:$O$88,15,0))</f>
        <v>238.45</v>
      </c>
      <c r="X159" s="4">
        <f>IF(ISERROR(VLOOKUP($U$159,'TAR FIN'!$A$1:$O$88,15,0)),0,VLOOKUP($U$159,'TAR FIN'!$A$1:$O$88,15,0))</f>
        <v>242.35</v>
      </c>
      <c r="Y159" s="4"/>
      <c r="Z159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59" s="4">
        <f>('TE BE'!$AB$14+'TE BF'!$AB$14+'TE CVA'!$AB$14)*(1-CUSTOS!$M$37)</f>
        <v>191.00751406315655</v>
      </c>
      <c r="AB159" s="4">
        <f>$K$159*$V$159</f>
        <v>0</v>
      </c>
      <c r="AC159" s="4">
        <f>$M$159*$W$159</f>
        <v>1163.3975499999999</v>
      </c>
      <c r="AD159" s="4">
        <f>$O$159*$X$159</f>
        <v>1182.4256499999999</v>
      </c>
      <c r="AE159" s="4">
        <f>$K$159*$Y$159</f>
        <v>0</v>
      </c>
      <c r="AF159" s="4">
        <f ca="1">$M$159*$Z$159</f>
        <v>1692.641278558516</v>
      </c>
      <c r="AG159" s="4">
        <f>$O$159*$AA$159</f>
        <v>931.92566111414067</v>
      </c>
    </row>
    <row r="160" spans="1:33" ht="11.25" customHeight="1" x14ac:dyDescent="0.3">
      <c r="A160" s="3" t="s">
        <v>55</v>
      </c>
      <c r="B160" s="3" t="s">
        <v>22</v>
      </c>
      <c r="C160" s="3" t="s">
        <v>23</v>
      </c>
      <c r="D160" s="3" t="s">
        <v>24</v>
      </c>
      <c r="E160" s="3" t="s">
        <v>32</v>
      </c>
      <c r="F160" s="3" t="s">
        <v>25</v>
      </c>
      <c r="G160" s="3" t="s">
        <v>25</v>
      </c>
      <c r="H160" s="3" t="s">
        <v>25</v>
      </c>
      <c r="I160" s="6">
        <v>44774</v>
      </c>
      <c r="J160" s="4">
        <v>0</v>
      </c>
      <c r="K160" s="4">
        <v>0</v>
      </c>
      <c r="L160" s="4">
        <v>4.8789999999999996</v>
      </c>
      <c r="M160" s="4">
        <v>4.8789999999999996</v>
      </c>
      <c r="N160" s="4">
        <v>4.8789999999999996</v>
      </c>
      <c r="O160" s="4">
        <v>4.8789999999999996</v>
      </c>
      <c r="P160" s="4">
        <v>65</v>
      </c>
      <c r="Q160" s="3" t="s">
        <v>26</v>
      </c>
      <c r="R160" s="3">
        <v>0</v>
      </c>
      <c r="S160" s="4">
        <v>0</v>
      </c>
      <c r="T160" s="4">
        <v>22</v>
      </c>
      <c r="U160" s="4">
        <v>60</v>
      </c>
      <c r="V160" s="4">
        <f>IF(ISERROR(VLOOKUP($S$160,'TAR FIN'!$A$1:$O$88,15,0)),0,VLOOKUP($S$160,'TAR FIN'!$A$1:$O$88,15,0))</f>
        <v>0</v>
      </c>
      <c r="W160" s="4">
        <f>IF(ISERROR(VLOOKUP($T$160,'TAR FIN'!$A$1:$O$88,15,0)),0,VLOOKUP($T$160,'TAR FIN'!$A$1:$O$88,15,0))</f>
        <v>238.45</v>
      </c>
      <c r="X160" s="4">
        <f>IF(ISERROR(VLOOKUP($U$160,'TAR FIN'!$A$1:$O$88,15,0)),0,VLOOKUP($U$160,'TAR FIN'!$A$1:$O$88,15,0))</f>
        <v>242.35</v>
      </c>
      <c r="Y160" s="4"/>
      <c r="Z160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160" s="4">
        <f>('TE BE'!$AB$14+'TE BF'!$AB$14+'TE CVA'!$AB$14)*(1-CUSTOS!$M$37)</f>
        <v>191.00751406315655</v>
      </c>
      <c r="AB160" s="4">
        <f>$K$160*$V$160</f>
        <v>0</v>
      </c>
      <c r="AC160" s="4">
        <f>$M$160*$W$160</f>
        <v>1163.3975499999999</v>
      </c>
      <c r="AD160" s="4">
        <f>$O$160*$X$160</f>
        <v>1182.4256499999999</v>
      </c>
      <c r="AE160" s="4">
        <f>$K$160*$Y$160</f>
        <v>0</v>
      </c>
      <c r="AF160" s="4">
        <f ca="1">$M$160*$Z$160</f>
        <v>1692.641278558516</v>
      </c>
      <c r="AG160" s="4">
        <f>$O$160*$AA$160</f>
        <v>931.92566111414067</v>
      </c>
    </row>
    <row r="161" spans="1:33" ht="11.25" customHeight="1" x14ac:dyDescent="0.3">
      <c r="A161" s="3" t="s">
        <v>21</v>
      </c>
      <c r="B161" s="3" t="s">
        <v>42</v>
      </c>
      <c r="C161" s="3" t="s">
        <v>23</v>
      </c>
      <c r="D161" s="3" t="s">
        <v>43</v>
      </c>
      <c r="E161" s="3" t="s">
        <v>51</v>
      </c>
      <c r="F161" s="3" t="s">
        <v>52</v>
      </c>
      <c r="G161" s="3" t="s">
        <v>25</v>
      </c>
      <c r="H161" s="3" t="s">
        <v>25</v>
      </c>
      <c r="I161" s="6">
        <v>44440</v>
      </c>
      <c r="J161" s="4">
        <v>0</v>
      </c>
      <c r="K161" s="4">
        <v>0</v>
      </c>
      <c r="L161" s="4">
        <v>6.2439999999999998</v>
      </c>
      <c r="M161" s="4">
        <v>6.2439999999999998</v>
      </c>
      <c r="N161" s="4">
        <v>6.2439999999999998</v>
      </c>
      <c r="O161" s="4">
        <v>6.2439999999999998</v>
      </c>
      <c r="P161" s="4">
        <v>0</v>
      </c>
      <c r="Q161" s="3" t="s">
        <v>26</v>
      </c>
      <c r="R161" s="3">
        <v>0</v>
      </c>
      <c r="S161" s="4">
        <v>0</v>
      </c>
      <c r="T161" s="4">
        <v>31</v>
      </c>
      <c r="U161" s="4">
        <v>69</v>
      </c>
      <c r="V161" s="4">
        <f>IF(ISERROR(VLOOKUP($S$161,'TAR FIN'!$A$1:$O$88,15,0)),0,VLOOKUP($S$161,'TAR FIN'!$A$1:$O$88,15,0))</f>
        <v>0</v>
      </c>
      <c r="W161" s="4">
        <f>IF(ISERROR(VLOOKUP($T$161,'TAR FIN'!$A$1:$O$88,15,0)),0,VLOOKUP($T$161,'TAR FIN'!$A$1:$O$88,15,0))</f>
        <v>269.45</v>
      </c>
      <c r="X161" s="4">
        <f>IF(ISERROR(VLOOKUP($U$161,'TAR FIN'!$A$1:$O$88,15,0)),0,VLOOKUP($U$161,'TAR FIN'!$A$1:$O$88,15,0))</f>
        <v>213.27</v>
      </c>
      <c r="Y161" s="4"/>
      <c r="Z161" s="4">
        <f ca="1">('TUSD BE'!$AM$33+'TUSD BF'!$AM$33+'TUSD CVA'!$AM$33)*(1-CUSTOS!$M$38)</f>
        <v>421.14033355107131</v>
      </c>
      <c r="AA161" s="4">
        <f>('TE BE'!$AB$23+'TE BF'!$AB$23+'TE CVA'!$AB$23)*(1-CUSTOS!$M$38)</f>
        <v>179.54706321936715</v>
      </c>
      <c r="AB161" s="4">
        <f>$K$161*$V$161</f>
        <v>0</v>
      </c>
      <c r="AC161" s="4">
        <f>$M$161*$W$161</f>
        <v>1682.4458</v>
      </c>
      <c r="AD161" s="4">
        <f>$O$161*$X$161</f>
        <v>1331.65788</v>
      </c>
      <c r="AE161" s="4">
        <f>$K$161*$Y$161</f>
        <v>0</v>
      </c>
      <c r="AF161" s="4">
        <f ca="1">$M$161*$Z$161</f>
        <v>2629.600242692889</v>
      </c>
      <c r="AG161" s="4">
        <f>$O$161*$AA$161</f>
        <v>1121.0918627417284</v>
      </c>
    </row>
    <row r="162" spans="1:33" ht="11.25" customHeight="1" x14ac:dyDescent="0.3">
      <c r="A162" s="3" t="s">
        <v>21</v>
      </c>
      <c r="B162" s="3" t="s">
        <v>42</v>
      </c>
      <c r="C162" s="3" t="s">
        <v>23</v>
      </c>
      <c r="D162" s="3" t="s">
        <v>43</v>
      </c>
      <c r="E162" s="3" t="s">
        <v>51</v>
      </c>
      <c r="F162" s="3" t="s">
        <v>52</v>
      </c>
      <c r="G162" s="3" t="s">
        <v>25</v>
      </c>
      <c r="H162" s="3" t="s">
        <v>25</v>
      </c>
      <c r="I162" s="6">
        <v>44470</v>
      </c>
      <c r="J162" s="4">
        <v>0</v>
      </c>
      <c r="K162" s="4">
        <v>0</v>
      </c>
      <c r="L162" s="4">
        <v>7.9189999999999996</v>
      </c>
      <c r="M162" s="4">
        <v>7.9189999999999996</v>
      </c>
      <c r="N162" s="4">
        <v>7.9189999999999996</v>
      </c>
      <c r="O162" s="4">
        <v>7.9189999999999996</v>
      </c>
      <c r="P162" s="4">
        <v>0</v>
      </c>
      <c r="Q162" s="3" t="s">
        <v>26</v>
      </c>
      <c r="R162" s="3">
        <v>0</v>
      </c>
      <c r="S162" s="4">
        <v>0</v>
      </c>
      <c r="T162" s="4">
        <v>31</v>
      </c>
      <c r="U162" s="4">
        <v>69</v>
      </c>
      <c r="V162" s="4">
        <f>IF(ISERROR(VLOOKUP($S$162,'TAR FIN'!$A$1:$O$88,15,0)),0,VLOOKUP($S$162,'TAR FIN'!$A$1:$O$88,15,0))</f>
        <v>0</v>
      </c>
      <c r="W162" s="4">
        <f>IF(ISERROR(VLOOKUP($T$162,'TAR FIN'!$A$1:$O$88,15,0)),0,VLOOKUP($T$162,'TAR FIN'!$A$1:$O$88,15,0))</f>
        <v>269.45</v>
      </c>
      <c r="X162" s="4">
        <f>IF(ISERROR(VLOOKUP($U$162,'TAR FIN'!$A$1:$O$88,15,0)),0,VLOOKUP($U$162,'TAR FIN'!$A$1:$O$88,15,0))</f>
        <v>213.27</v>
      </c>
      <c r="Y162" s="4"/>
      <c r="Z162" s="4">
        <f ca="1">('TUSD BE'!$AM$33+'TUSD BF'!$AM$33+'TUSD CVA'!$AM$33)*(1-CUSTOS!$M$38)</f>
        <v>421.14033355107131</v>
      </c>
      <c r="AA162" s="4">
        <f>('TE BE'!$AB$23+'TE BF'!$AB$23+'TE CVA'!$AB$23)*(1-CUSTOS!$M$38)</f>
        <v>179.54706321936715</v>
      </c>
      <c r="AB162" s="4">
        <f>$K$162*$V$162</f>
        <v>0</v>
      </c>
      <c r="AC162" s="4">
        <f>$M$162*$W$162</f>
        <v>2133.7745499999996</v>
      </c>
      <c r="AD162" s="4">
        <f>$O$162*$X$162</f>
        <v>1688.8851299999999</v>
      </c>
      <c r="AE162" s="4">
        <f>$K$162*$Y$162</f>
        <v>0</v>
      </c>
      <c r="AF162" s="4">
        <f ca="1">$M$162*$Z$162</f>
        <v>3335.0103013909334</v>
      </c>
      <c r="AG162" s="4">
        <f>$O$162*$AA$162</f>
        <v>1421.8331936341683</v>
      </c>
    </row>
    <row r="163" spans="1:33" ht="11.25" customHeight="1" x14ac:dyDescent="0.3">
      <c r="A163" s="3" t="s">
        <v>27</v>
      </c>
      <c r="B163" s="3" t="s">
        <v>42</v>
      </c>
      <c r="C163" s="3" t="s">
        <v>23</v>
      </c>
      <c r="D163" s="3" t="s">
        <v>43</v>
      </c>
      <c r="E163" s="3" t="s">
        <v>51</v>
      </c>
      <c r="F163" s="3" t="s">
        <v>52</v>
      </c>
      <c r="G163" s="3" t="s">
        <v>25</v>
      </c>
      <c r="H163" s="3" t="s">
        <v>25</v>
      </c>
      <c r="I163" s="6">
        <v>44470</v>
      </c>
      <c r="J163" s="4">
        <v>0</v>
      </c>
      <c r="K163" s="4">
        <v>0</v>
      </c>
      <c r="L163" s="4">
        <v>-0.1</v>
      </c>
      <c r="M163" s="4">
        <v>-0.1</v>
      </c>
      <c r="N163" s="4">
        <v>-0.1</v>
      </c>
      <c r="O163" s="4">
        <v>-0.1</v>
      </c>
      <c r="P163" s="4">
        <v>0</v>
      </c>
      <c r="Q163" s="3" t="s">
        <v>26</v>
      </c>
      <c r="R163" s="3">
        <v>0</v>
      </c>
      <c r="S163" s="4">
        <v>0</v>
      </c>
      <c r="T163" s="4">
        <v>31</v>
      </c>
      <c r="U163" s="4">
        <v>69</v>
      </c>
      <c r="V163" s="4">
        <f>IF(ISERROR(VLOOKUP($S$163,'TAR FIN'!$A$1:$O$88,15,0)),0,VLOOKUP($S$163,'TAR FIN'!$A$1:$O$88,15,0))</f>
        <v>0</v>
      </c>
      <c r="W163" s="4">
        <f>IF(ISERROR(VLOOKUP($T$163,'TAR FIN'!$A$1:$O$88,15,0)),0,VLOOKUP($T$163,'TAR FIN'!$A$1:$O$88,15,0))</f>
        <v>269.45</v>
      </c>
      <c r="X163" s="4">
        <f>IF(ISERROR(VLOOKUP($U$163,'TAR FIN'!$A$1:$O$88,15,0)),0,VLOOKUP($U$163,'TAR FIN'!$A$1:$O$88,15,0))</f>
        <v>213.27</v>
      </c>
      <c r="Y163" s="4"/>
      <c r="Z163" s="4">
        <f ca="1">('TUSD BE'!$AM$33+'TUSD BF'!$AM$33+'TUSD CVA'!$AM$33)*(1-CUSTOS!$M$38)</f>
        <v>421.14033355107131</v>
      </c>
      <c r="AA163" s="4">
        <f>('TE BE'!$AB$23+'TE BF'!$AB$23+'TE CVA'!$AB$23)*(1-CUSTOS!$M$38)</f>
        <v>179.54706321936715</v>
      </c>
      <c r="AB163" s="4">
        <f>$K$163*$V$163</f>
        <v>0</v>
      </c>
      <c r="AC163" s="4">
        <f>$M$163*$W$163</f>
        <v>-26.945</v>
      </c>
      <c r="AD163" s="4">
        <f>$O$163*$X$163</f>
        <v>-21.327000000000002</v>
      </c>
      <c r="AE163" s="4">
        <f>$K$163*$Y$163</f>
        <v>0</v>
      </c>
      <c r="AF163" s="4">
        <f ca="1">$M$163*$Z$163</f>
        <v>-42.114033355107132</v>
      </c>
      <c r="AG163" s="4">
        <f>$O$163*$AA$163</f>
        <v>-17.954706321936715</v>
      </c>
    </row>
    <row r="164" spans="1:33" ht="11.25" customHeight="1" x14ac:dyDescent="0.3">
      <c r="A164" s="3" t="s">
        <v>21</v>
      </c>
      <c r="B164" s="3" t="s">
        <v>42</v>
      </c>
      <c r="C164" s="3" t="s">
        <v>23</v>
      </c>
      <c r="D164" s="3" t="s">
        <v>43</v>
      </c>
      <c r="E164" s="3" t="s">
        <v>51</v>
      </c>
      <c r="F164" s="3" t="s">
        <v>52</v>
      </c>
      <c r="G164" s="3" t="s">
        <v>25</v>
      </c>
      <c r="H164" s="3" t="s">
        <v>25</v>
      </c>
      <c r="I164" s="6">
        <v>44501</v>
      </c>
      <c r="J164" s="4">
        <v>0</v>
      </c>
      <c r="K164" s="4">
        <v>0</v>
      </c>
      <c r="L164" s="4">
        <v>11.58</v>
      </c>
      <c r="M164" s="4">
        <v>11.58</v>
      </c>
      <c r="N164" s="4">
        <v>11.58</v>
      </c>
      <c r="O164" s="4">
        <v>11.58</v>
      </c>
      <c r="P164" s="4">
        <v>0</v>
      </c>
      <c r="Q164" s="3" t="s">
        <v>26</v>
      </c>
      <c r="R164" s="3">
        <v>0</v>
      </c>
      <c r="S164" s="4">
        <v>0</v>
      </c>
      <c r="T164" s="4">
        <v>31</v>
      </c>
      <c r="U164" s="4">
        <v>69</v>
      </c>
      <c r="V164" s="4">
        <f>IF(ISERROR(VLOOKUP($S$164,'TAR FIN'!$A$1:$O$88,15,0)),0,VLOOKUP($S$164,'TAR FIN'!$A$1:$O$88,15,0))</f>
        <v>0</v>
      </c>
      <c r="W164" s="4">
        <f>IF(ISERROR(VLOOKUP($T$164,'TAR FIN'!$A$1:$O$88,15,0)),0,VLOOKUP($T$164,'TAR FIN'!$A$1:$O$88,15,0))</f>
        <v>269.45</v>
      </c>
      <c r="X164" s="4">
        <f>IF(ISERROR(VLOOKUP($U$164,'TAR FIN'!$A$1:$O$88,15,0)),0,VLOOKUP($U$164,'TAR FIN'!$A$1:$O$88,15,0))</f>
        <v>213.27</v>
      </c>
      <c r="Y164" s="4"/>
      <c r="Z164" s="4">
        <f ca="1">('TUSD BE'!$AM$33+'TUSD BF'!$AM$33+'TUSD CVA'!$AM$33)*(1-CUSTOS!$M$38)</f>
        <v>421.14033355107131</v>
      </c>
      <c r="AA164" s="4">
        <f>('TE BE'!$AB$23+'TE BF'!$AB$23+'TE CVA'!$AB$23)*(1-CUSTOS!$M$38)</f>
        <v>179.54706321936715</v>
      </c>
      <c r="AB164" s="4">
        <f>$K$164*$V$164</f>
        <v>0</v>
      </c>
      <c r="AC164" s="4">
        <f>$M$164*$W$164</f>
        <v>3120.2309999999998</v>
      </c>
      <c r="AD164" s="4">
        <f>$O$164*$X$164</f>
        <v>2469.6666</v>
      </c>
      <c r="AE164" s="4">
        <f>$K$164*$Y$164</f>
        <v>0</v>
      </c>
      <c r="AF164" s="4">
        <f ca="1">$M$164*$Z$164</f>
        <v>4876.8050625214055</v>
      </c>
      <c r="AG164" s="4">
        <f>$O$164*$AA$164</f>
        <v>2079.1549920802718</v>
      </c>
    </row>
    <row r="165" spans="1:33" ht="11.25" customHeight="1" x14ac:dyDescent="0.3">
      <c r="A165" s="3" t="s">
        <v>21</v>
      </c>
      <c r="B165" s="3" t="s">
        <v>42</v>
      </c>
      <c r="C165" s="3" t="s">
        <v>23</v>
      </c>
      <c r="D165" s="3" t="s">
        <v>43</v>
      </c>
      <c r="E165" s="3" t="s">
        <v>51</v>
      </c>
      <c r="F165" s="3" t="s">
        <v>52</v>
      </c>
      <c r="G165" s="3" t="s">
        <v>25</v>
      </c>
      <c r="H165" s="3" t="s">
        <v>25</v>
      </c>
      <c r="I165" s="6">
        <v>44531</v>
      </c>
      <c r="J165" s="4">
        <v>0</v>
      </c>
      <c r="K165" s="4">
        <v>0</v>
      </c>
      <c r="L165" s="4">
        <v>8.4139999999999997</v>
      </c>
      <c r="M165" s="4">
        <v>8.4139999999999997</v>
      </c>
      <c r="N165" s="4">
        <v>8.4139999999999997</v>
      </c>
      <c r="O165" s="4">
        <v>8.4139999999999997</v>
      </c>
      <c r="P165" s="4">
        <v>0</v>
      </c>
      <c r="Q165" s="3" t="s">
        <v>26</v>
      </c>
      <c r="R165" s="3">
        <v>0</v>
      </c>
      <c r="S165" s="4">
        <v>0</v>
      </c>
      <c r="T165" s="4">
        <v>31</v>
      </c>
      <c r="U165" s="4">
        <v>69</v>
      </c>
      <c r="V165" s="4">
        <f>IF(ISERROR(VLOOKUP($S$165,'TAR FIN'!$A$1:$O$88,15,0)),0,VLOOKUP($S$165,'TAR FIN'!$A$1:$O$88,15,0))</f>
        <v>0</v>
      </c>
      <c r="W165" s="4">
        <f>IF(ISERROR(VLOOKUP($T$165,'TAR FIN'!$A$1:$O$88,15,0)),0,VLOOKUP($T$165,'TAR FIN'!$A$1:$O$88,15,0))</f>
        <v>269.45</v>
      </c>
      <c r="X165" s="4">
        <f>IF(ISERROR(VLOOKUP($U$165,'TAR FIN'!$A$1:$O$88,15,0)),0,VLOOKUP($U$165,'TAR FIN'!$A$1:$O$88,15,0))</f>
        <v>213.27</v>
      </c>
      <c r="Y165" s="4"/>
      <c r="Z165" s="4">
        <f ca="1">('TUSD BE'!$AM$33+'TUSD BF'!$AM$33+'TUSD CVA'!$AM$33)*(1-CUSTOS!$M$38)</f>
        <v>421.14033355107131</v>
      </c>
      <c r="AA165" s="4">
        <f>('TE BE'!$AB$23+'TE BF'!$AB$23+'TE CVA'!$AB$23)*(1-CUSTOS!$M$38)</f>
        <v>179.54706321936715</v>
      </c>
      <c r="AB165" s="4">
        <f>$K$165*$V$165</f>
        <v>0</v>
      </c>
      <c r="AC165" s="4">
        <f>$M$165*$W$165</f>
        <v>2267.1522999999997</v>
      </c>
      <c r="AD165" s="4">
        <f>$O$165*$X$165</f>
        <v>1794.4537800000001</v>
      </c>
      <c r="AE165" s="4">
        <f>$K$165*$Y$165</f>
        <v>0</v>
      </c>
      <c r="AF165" s="4">
        <f ca="1">$M$165*$Z$165</f>
        <v>3543.474766498714</v>
      </c>
      <c r="AG165" s="4">
        <f>$O$165*$AA$165</f>
        <v>1510.7089899277551</v>
      </c>
    </row>
    <row r="166" spans="1:33" ht="11.25" customHeight="1" x14ac:dyDescent="0.3">
      <c r="A166" s="3" t="s">
        <v>28</v>
      </c>
      <c r="B166" s="3" t="s">
        <v>42</v>
      </c>
      <c r="C166" s="3" t="s">
        <v>23</v>
      </c>
      <c r="D166" s="3" t="s">
        <v>43</v>
      </c>
      <c r="E166" s="3" t="s">
        <v>51</v>
      </c>
      <c r="F166" s="3" t="s">
        <v>52</v>
      </c>
      <c r="G166" s="3" t="s">
        <v>25</v>
      </c>
      <c r="H166" s="3" t="s">
        <v>25</v>
      </c>
      <c r="I166" s="6">
        <v>44531</v>
      </c>
      <c r="J166" s="4">
        <v>0</v>
      </c>
      <c r="K166" s="4">
        <v>0</v>
      </c>
      <c r="L166" s="4">
        <v>0.26500000000000001</v>
      </c>
      <c r="M166" s="4">
        <v>0.26500000000000001</v>
      </c>
      <c r="N166" s="4">
        <v>0.26500000000000001</v>
      </c>
      <c r="O166" s="4">
        <v>0.26500000000000001</v>
      </c>
      <c r="P166" s="4">
        <v>0</v>
      </c>
      <c r="Q166" s="3" t="s">
        <v>26</v>
      </c>
      <c r="R166" s="3">
        <v>0</v>
      </c>
      <c r="S166" s="4">
        <v>0</v>
      </c>
      <c r="T166" s="4">
        <v>31</v>
      </c>
      <c r="U166" s="4">
        <v>69</v>
      </c>
      <c r="V166" s="4">
        <f>IF(ISERROR(VLOOKUP($S$166,'TAR FIN'!$A$1:$O$88,15,0)),0,VLOOKUP($S$166,'TAR FIN'!$A$1:$O$88,15,0))</f>
        <v>0</v>
      </c>
      <c r="W166" s="4">
        <f>IF(ISERROR(VLOOKUP($T$166,'TAR FIN'!$A$1:$O$88,15,0)),0,VLOOKUP($T$166,'TAR FIN'!$A$1:$O$88,15,0))</f>
        <v>269.45</v>
      </c>
      <c r="X166" s="4">
        <f>IF(ISERROR(VLOOKUP($U$166,'TAR FIN'!$A$1:$O$88,15,0)),0,VLOOKUP($U$166,'TAR FIN'!$A$1:$O$88,15,0))</f>
        <v>213.27</v>
      </c>
      <c r="Y166" s="4"/>
      <c r="Z166" s="4">
        <f ca="1">('TUSD BE'!$AM$33+'TUSD BF'!$AM$33+'TUSD CVA'!$AM$33)*(1-CUSTOS!$M$38)</f>
        <v>421.14033355107131</v>
      </c>
      <c r="AA166" s="4">
        <f>('TE BE'!$AB$23+'TE BF'!$AB$23+'TE CVA'!$AB$23)*(1-CUSTOS!$M$38)</f>
        <v>179.54706321936715</v>
      </c>
      <c r="AB166" s="4">
        <f>$K$166*$V$166</f>
        <v>0</v>
      </c>
      <c r="AC166" s="4">
        <f>$M$166*$W$166</f>
        <v>71.404250000000005</v>
      </c>
      <c r="AD166" s="4">
        <f>$O$166*$X$166</f>
        <v>56.516550000000002</v>
      </c>
      <c r="AE166" s="4">
        <f>$K$166*$Y$166</f>
        <v>0</v>
      </c>
      <c r="AF166" s="4">
        <f ca="1">$M$166*$Z$166</f>
        <v>111.60218839103391</v>
      </c>
      <c r="AG166" s="4">
        <f>$O$166*$AA$166</f>
        <v>47.579971753132298</v>
      </c>
    </row>
    <row r="167" spans="1:33" ht="11.25" customHeight="1" x14ac:dyDescent="0.3">
      <c r="A167" s="3" t="s">
        <v>21</v>
      </c>
      <c r="B167" s="3" t="s">
        <v>42</v>
      </c>
      <c r="C167" s="3" t="s">
        <v>23</v>
      </c>
      <c r="D167" s="3" t="s">
        <v>43</v>
      </c>
      <c r="E167" s="3" t="s">
        <v>51</v>
      </c>
      <c r="F167" s="3" t="s">
        <v>52</v>
      </c>
      <c r="G167" s="3" t="s">
        <v>25</v>
      </c>
      <c r="H167" s="3" t="s">
        <v>25</v>
      </c>
      <c r="I167" s="6">
        <v>44562</v>
      </c>
      <c r="J167" s="4">
        <v>0</v>
      </c>
      <c r="K167" s="4">
        <v>0</v>
      </c>
      <c r="L167" s="4">
        <v>19.024999999999999</v>
      </c>
      <c r="M167" s="4">
        <v>19.024999999999999</v>
      </c>
      <c r="N167" s="4">
        <v>19.024999999999999</v>
      </c>
      <c r="O167" s="4">
        <v>19.024999999999999</v>
      </c>
      <c r="P167" s="4">
        <v>0</v>
      </c>
      <c r="Q167" s="3" t="s">
        <v>26</v>
      </c>
      <c r="R167" s="3">
        <v>0</v>
      </c>
      <c r="S167" s="4">
        <v>0</v>
      </c>
      <c r="T167" s="4">
        <v>31</v>
      </c>
      <c r="U167" s="4">
        <v>69</v>
      </c>
      <c r="V167" s="4">
        <f>IF(ISERROR(VLOOKUP($S$167,'TAR FIN'!$A$1:$O$88,15,0)),0,VLOOKUP($S$167,'TAR FIN'!$A$1:$O$88,15,0))</f>
        <v>0</v>
      </c>
      <c r="W167" s="4">
        <f>IF(ISERROR(VLOOKUP($T$167,'TAR FIN'!$A$1:$O$88,15,0)),0,VLOOKUP($T$167,'TAR FIN'!$A$1:$O$88,15,0))</f>
        <v>269.45</v>
      </c>
      <c r="X167" s="4">
        <f>IF(ISERROR(VLOOKUP($U$167,'TAR FIN'!$A$1:$O$88,15,0)),0,VLOOKUP($U$167,'TAR FIN'!$A$1:$O$88,15,0))</f>
        <v>213.27</v>
      </c>
      <c r="Y167" s="4"/>
      <c r="Z167" s="4">
        <f ca="1">('TUSD BE'!$AM$33+'TUSD BF'!$AM$33+'TUSD CVA'!$AM$33)*(1-CUSTOS!$M$38)</f>
        <v>421.14033355107131</v>
      </c>
      <c r="AA167" s="4">
        <f>('TE BE'!$AB$23+'TE BF'!$AB$23+'TE CVA'!$AB$23)*(1-CUSTOS!$M$38)</f>
        <v>179.54706321936715</v>
      </c>
      <c r="AB167" s="4">
        <f>$K$167*$V$167</f>
        <v>0</v>
      </c>
      <c r="AC167" s="4">
        <f>$M$167*$W$167</f>
        <v>5126.2862499999992</v>
      </c>
      <c r="AD167" s="4">
        <f>$O$167*$X$167</f>
        <v>4057.4617499999999</v>
      </c>
      <c r="AE167" s="4">
        <f>$K$167*$Y$167</f>
        <v>0</v>
      </c>
      <c r="AF167" s="4">
        <f ca="1">$M$167*$Z$167</f>
        <v>8012.194845809131</v>
      </c>
      <c r="AG167" s="4">
        <f>$O$167*$AA$167</f>
        <v>3415.8828777484596</v>
      </c>
    </row>
    <row r="168" spans="1:33" ht="11.25" customHeight="1" x14ac:dyDescent="0.3">
      <c r="A168" s="3" t="s">
        <v>27</v>
      </c>
      <c r="B168" s="3" t="s">
        <v>42</v>
      </c>
      <c r="C168" s="3" t="s">
        <v>23</v>
      </c>
      <c r="D168" s="3" t="s">
        <v>43</v>
      </c>
      <c r="E168" s="3" t="s">
        <v>51</v>
      </c>
      <c r="F168" s="3" t="s">
        <v>52</v>
      </c>
      <c r="G168" s="3" t="s">
        <v>25</v>
      </c>
      <c r="H168" s="3" t="s">
        <v>25</v>
      </c>
      <c r="I168" s="6">
        <v>44562</v>
      </c>
      <c r="J168" s="4">
        <v>0</v>
      </c>
      <c r="K168" s="4">
        <v>0</v>
      </c>
      <c r="L168" s="4">
        <v>-3.2789999999999999</v>
      </c>
      <c r="M168" s="4">
        <v>-3.2789999999999999</v>
      </c>
      <c r="N168" s="4">
        <v>-3.2789999999999999</v>
      </c>
      <c r="O168" s="4">
        <v>-3.2789999999999999</v>
      </c>
      <c r="P168" s="4">
        <v>0</v>
      </c>
      <c r="Q168" s="3" t="s">
        <v>26</v>
      </c>
      <c r="R168" s="3">
        <v>0</v>
      </c>
      <c r="S168" s="4">
        <v>0</v>
      </c>
      <c r="T168" s="4">
        <v>31</v>
      </c>
      <c r="U168" s="4">
        <v>69</v>
      </c>
      <c r="V168" s="4">
        <f>IF(ISERROR(VLOOKUP($S$168,'TAR FIN'!$A$1:$O$88,15,0)),0,VLOOKUP($S$168,'TAR FIN'!$A$1:$O$88,15,0))</f>
        <v>0</v>
      </c>
      <c r="W168" s="4">
        <f>IF(ISERROR(VLOOKUP($T$168,'TAR FIN'!$A$1:$O$88,15,0)),0,VLOOKUP($T$168,'TAR FIN'!$A$1:$O$88,15,0))</f>
        <v>269.45</v>
      </c>
      <c r="X168" s="4">
        <f>IF(ISERROR(VLOOKUP($U$168,'TAR FIN'!$A$1:$O$88,15,0)),0,VLOOKUP($U$168,'TAR FIN'!$A$1:$O$88,15,0))</f>
        <v>213.27</v>
      </c>
      <c r="Y168" s="4"/>
      <c r="Z168" s="4">
        <f ca="1">('TUSD BE'!$AM$33+'TUSD BF'!$AM$33+'TUSD CVA'!$AM$33)*(1-CUSTOS!$M$38)</f>
        <v>421.14033355107131</v>
      </c>
      <c r="AA168" s="4">
        <f>('TE BE'!$AB$23+'TE BF'!$AB$23+'TE CVA'!$AB$23)*(1-CUSTOS!$M$38)</f>
        <v>179.54706321936715</v>
      </c>
      <c r="AB168" s="4">
        <f>$K$168*$V$168</f>
        <v>0</v>
      </c>
      <c r="AC168" s="4">
        <f>$M$168*$W$168</f>
        <v>-883.52654999999993</v>
      </c>
      <c r="AD168" s="4">
        <f>$O$168*$X$168</f>
        <v>-699.31232999999997</v>
      </c>
      <c r="AE168" s="4">
        <f>$K$168*$Y$168</f>
        <v>0</v>
      </c>
      <c r="AF168" s="4">
        <f ca="1">$M$168*$Z$168</f>
        <v>-1380.9191537139627</v>
      </c>
      <c r="AG168" s="4">
        <f>$O$168*$AA$168</f>
        <v>-588.73482029630486</v>
      </c>
    </row>
    <row r="169" spans="1:33" ht="11.25" customHeight="1" x14ac:dyDescent="0.3">
      <c r="A169" s="3" t="s">
        <v>28</v>
      </c>
      <c r="B169" s="3" t="s">
        <v>42</v>
      </c>
      <c r="C169" s="3" t="s">
        <v>23</v>
      </c>
      <c r="D169" s="3" t="s">
        <v>43</v>
      </c>
      <c r="E169" s="3" t="s">
        <v>51</v>
      </c>
      <c r="F169" s="3" t="s">
        <v>52</v>
      </c>
      <c r="G169" s="3" t="s">
        <v>25</v>
      </c>
      <c r="H169" s="3" t="s">
        <v>25</v>
      </c>
      <c r="I169" s="6">
        <v>44562</v>
      </c>
      <c r="J169" s="4">
        <v>0</v>
      </c>
      <c r="K169" s="4">
        <v>0</v>
      </c>
      <c r="L169" s="4">
        <v>0.376</v>
      </c>
      <c r="M169" s="4">
        <v>0.376</v>
      </c>
      <c r="N169" s="4">
        <v>0.376</v>
      </c>
      <c r="O169" s="4">
        <v>0.376</v>
      </c>
      <c r="P169" s="4">
        <v>0</v>
      </c>
      <c r="Q169" s="3" t="s">
        <v>26</v>
      </c>
      <c r="R169" s="3">
        <v>0</v>
      </c>
      <c r="S169" s="4">
        <v>0</v>
      </c>
      <c r="T169" s="4">
        <v>31</v>
      </c>
      <c r="U169" s="4">
        <v>69</v>
      </c>
      <c r="V169" s="4">
        <f>IF(ISERROR(VLOOKUP($S$169,'TAR FIN'!$A$1:$O$88,15,0)),0,VLOOKUP($S$169,'TAR FIN'!$A$1:$O$88,15,0))</f>
        <v>0</v>
      </c>
      <c r="W169" s="4">
        <f>IF(ISERROR(VLOOKUP($T$169,'TAR FIN'!$A$1:$O$88,15,0)),0,VLOOKUP($T$169,'TAR FIN'!$A$1:$O$88,15,0))</f>
        <v>269.45</v>
      </c>
      <c r="X169" s="4">
        <f>IF(ISERROR(VLOOKUP($U$169,'TAR FIN'!$A$1:$O$88,15,0)),0,VLOOKUP($U$169,'TAR FIN'!$A$1:$O$88,15,0))</f>
        <v>213.27</v>
      </c>
      <c r="Y169" s="4"/>
      <c r="Z169" s="4">
        <f ca="1">('TUSD BE'!$AM$33+'TUSD BF'!$AM$33+'TUSD CVA'!$AM$33)*(1-CUSTOS!$M$38)</f>
        <v>421.14033355107131</v>
      </c>
      <c r="AA169" s="4">
        <f>('TE BE'!$AB$23+'TE BF'!$AB$23+'TE CVA'!$AB$23)*(1-CUSTOS!$M$38)</f>
        <v>179.54706321936715</v>
      </c>
      <c r="AB169" s="4">
        <f>$K$169*$V$169</f>
        <v>0</v>
      </c>
      <c r="AC169" s="4">
        <f>$M$169*$W$169</f>
        <v>101.31319999999999</v>
      </c>
      <c r="AD169" s="4">
        <f>$O$169*$X$169</f>
        <v>80.189520000000002</v>
      </c>
      <c r="AE169" s="4">
        <f>$K$169*$Y$169</f>
        <v>0</v>
      </c>
      <c r="AF169" s="4">
        <f ca="1">$M$169*$Z$169</f>
        <v>158.34876541520282</v>
      </c>
      <c r="AG169" s="4">
        <f>$O$169*$AA$169</f>
        <v>67.509695770482054</v>
      </c>
    </row>
    <row r="170" spans="1:33" ht="11.25" customHeight="1" x14ac:dyDescent="0.3">
      <c r="A170" s="3" t="s">
        <v>21</v>
      </c>
      <c r="B170" s="3" t="s">
        <v>42</v>
      </c>
      <c r="C170" s="3" t="s">
        <v>23</v>
      </c>
      <c r="D170" s="3" t="s">
        <v>43</v>
      </c>
      <c r="E170" s="3" t="s">
        <v>51</v>
      </c>
      <c r="F170" s="3" t="s">
        <v>52</v>
      </c>
      <c r="G170" s="3" t="s">
        <v>25</v>
      </c>
      <c r="H170" s="3" t="s">
        <v>25</v>
      </c>
      <c r="I170" s="6">
        <v>44593</v>
      </c>
      <c r="J170" s="4">
        <v>0</v>
      </c>
      <c r="K170" s="4">
        <v>0</v>
      </c>
      <c r="L170" s="4">
        <v>6.173</v>
      </c>
      <c r="M170" s="4">
        <v>6.173</v>
      </c>
      <c r="N170" s="4">
        <v>6.173</v>
      </c>
      <c r="O170" s="4">
        <v>6.173</v>
      </c>
      <c r="P170" s="4">
        <v>0</v>
      </c>
      <c r="Q170" s="3" t="s">
        <v>26</v>
      </c>
      <c r="R170" s="3">
        <v>0</v>
      </c>
      <c r="S170" s="4">
        <v>0</v>
      </c>
      <c r="T170" s="4">
        <v>31</v>
      </c>
      <c r="U170" s="4">
        <v>69</v>
      </c>
      <c r="V170" s="4">
        <f>IF(ISERROR(VLOOKUP($S$170,'TAR FIN'!$A$1:$O$88,15,0)),0,VLOOKUP($S$170,'TAR FIN'!$A$1:$O$88,15,0))</f>
        <v>0</v>
      </c>
      <c r="W170" s="4">
        <f>IF(ISERROR(VLOOKUP($T$170,'TAR FIN'!$A$1:$O$88,15,0)),0,VLOOKUP($T$170,'TAR FIN'!$A$1:$O$88,15,0))</f>
        <v>269.45</v>
      </c>
      <c r="X170" s="4">
        <f>IF(ISERROR(VLOOKUP($U$170,'TAR FIN'!$A$1:$O$88,15,0)),0,VLOOKUP($U$170,'TAR FIN'!$A$1:$O$88,15,0))</f>
        <v>213.27</v>
      </c>
      <c r="Y170" s="4"/>
      <c r="Z170" s="4">
        <f ca="1">('TUSD BE'!$AM$33+'TUSD BF'!$AM$33+'TUSD CVA'!$AM$33)*(1-CUSTOS!$M$38)</f>
        <v>421.14033355107131</v>
      </c>
      <c r="AA170" s="4">
        <f>('TE BE'!$AB$23+'TE BF'!$AB$23+'TE CVA'!$AB$23)*(1-CUSTOS!$M$38)</f>
        <v>179.54706321936715</v>
      </c>
      <c r="AB170" s="4">
        <f>$K$170*$V$170</f>
        <v>0</v>
      </c>
      <c r="AC170" s="4">
        <f>$M$170*$W$170</f>
        <v>1663.31485</v>
      </c>
      <c r="AD170" s="4">
        <f>$O$170*$X$170</f>
        <v>1316.5157100000001</v>
      </c>
      <c r="AE170" s="4">
        <f>$K$170*$Y$170</f>
        <v>0</v>
      </c>
      <c r="AF170" s="4">
        <f ca="1">$M$170*$Z$170</f>
        <v>2599.6992790107633</v>
      </c>
      <c r="AG170" s="4">
        <f>$O$170*$AA$170</f>
        <v>1108.3440212531534</v>
      </c>
    </row>
    <row r="171" spans="1:33" ht="11.25" customHeight="1" x14ac:dyDescent="0.3">
      <c r="A171" s="3" t="s">
        <v>28</v>
      </c>
      <c r="B171" s="3" t="s">
        <v>42</v>
      </c>
      <c r="C171" s="3" t="s">
        <v>23</v>
      </c>
      <c r="D171" s="3" t="s">
        <v>43</v>
      </c>
      <c r="E171" s="3" t="s">
        <v>51</v>
      </c>
      <c r="F171" s="3" t="s">
        <v>52</v>
      </c>
      <c r="G171" s="3" t="s">
        <v>25</v>
      </c>
      <c r="H171" s="3" t="s">
        <v>25</v>
      </c>
      <c r="I171" s="6">
        <v>44593</v>
      </c>
      <c r="J171" s="4">
        <v>0</v>
      </c>
      <c r="K171" s="4">
        <v>0</v>
      </c>
      <c r="L171" s="4">
        <v>0.16200000000000001</v>
      </c>
      <c r="M171" s="4">
        <v>0.16200000000000001</v>
      </c>
      <c r="N171" s="4">
        <v>0.16200000000000001</v>
      </c>
      <c r="O171" s="4">
        <v>0.16200000000000001</v>
      </c>
      <c r="P171" s="4">
        <v>0</v>
      </c>
      <c r="Q171" s="3" t="s">
        <v>26</v>
      </c>
      <c r="R171" s="3">
        <v>0</v>
      </c>
      <c r="S171" s="4">
        <v>0</v>
      </c>
      <c r="T171" s="4">
        <v>31</v>
      </c>
      <c r="U171" s="4">
        <v>69</v>
      </c>
      <c r="V171" s="4">
        <f>IF(ISERROR(VLOOKUP($S$171,'TAR FIN'!$A$1:$O$88,15,0)),0,VLOOKUP($S$171,'TAR FIN'!$A$1:$O$88,15,0))</f>
        <v>0</v>
      </c>
      <c r="W171" s="4">
        <f>IF(ISERROR(VLOOKUP($T$171,'TAR FIN'!$A$1:$O$88,15,0)),0,VLOOKUP($T$171,'TAR FIN'!$A$1:$O$88,15,0))</f>
        <v>269.45</v>
      </c>
      <c r="X171" s="4">
        <f>IF(ISERROR(VLOOKUP($U$171,'TAR FIN'!$A$1:$O$88,15,0)),0,VLOOKUP($U$171,'TAR FIN'!$A$1:$O$88,15,0))</f>
        <v>213.27</v>
      </c>
      <c r="Y171" s="4"/>
      <c r="Z171" s="4">
        <f ca="1">('TUSD BE'!$AM$33+'TUSD BF'!$AM$33+'TUSD CVA'!$AM$33)*(1-CUSTOS!$M$38)</f>
        <v>421.14033355107131</v>
      </c>
      <c r="AA171" s="4">
        <f>('TE BE'!$AB$23+'TE BF'!$AB$23+'TE CVA'!$AB$23)*(1-CUSTOS!$M$38)</f>
        <v>179.54706321936715</v>
      </c>
      <c r="AB171" s="4">
        <f>$K$171*$V$171</f>
        <v>0</v>
      </c>
      <c r="AC171" s="4">
        <f>$M$171*$W$171</f>
        <v>43.6509</v>
      </c>
      <c r="AD171" s="4">
        <f>$O$171*$X$171</f>
        <v>34.54974</v>
      </c>
      <c r="AE171" s="4">
        <f>$K$171*$Y$171</f>
        <v>0</v>
      </c>
      <c r="AF171" s="4">
        <f ca="1">$M$171*$Z$171</f>
        <v>68.224734035273556</v>
      </c>
      <c r="AG171" s="4">
        <f>$O$171*$AA$171</f>
        <v>29.086624241537478</v>
      </c>
    </row>
    <row r="172" spans="1:33" ht="11.25" customHeight="1" x14ac:dyDescent="0.3">
      <c r="A172" s="3" t="s">
        <v>21</v>
      </c>
      <c r="B172" s="3" t="s">
        <v>42</v>
      </c>
      <c r="C172" s="3" t="s">
        <v>23</v>
      </c>
      <c r="D172" s="3" t="s">
        <v>43</v>
      </c>
      <c r="E172" s="3" t="s">
        <v>51</v>
      </c>
      <c r="F172" s="3" t="s">
        <v>52</v>
      </c>
      <c r="G172" s="3" t="s">
        <v>25</v>
      </c>
      <c r="H172" s="3" t="s">
        <v>25</v>
      </c>
      <c r="I172" s="6">
        <v>44621</v>
      </c>
      <c r="J172" s="4">
        <v>0</v>
      </c>
      <c r="K172" s="4">
        <v>0</v>
      </c>
      <c r="L172" s="4">
        <v>2.0369999999999999</v>
      </c>
      <c r="M172" s="4">
        <v>2.0369999999999999</v>
      </c>
      <c r="N172" s="4">
        <v>2.0369999999999999</v>
      </c>
      <c r="O172" s="4">
        <v>2.0369999999999999</v>
      </c>
      <c r="P172" s="4">
        <v>0</v>
      </c>
      <c r="Q172" s="3" t="s">
        <v>26</v>
      </c>
      <c r="R172" s="3">
        <v>0</v>
      </c>
      <c r="S172" s="4">
        <v>0</v>
      </c>
      <c r="T172" s="4">
        <v>31</v>
      </c>
      <c r="U172" s="4">
        <v>69</v>
      </c>
      <c r="V172" s="4">
        <f>IF(ISERROR(VLOOKUP($S$172,'TAR FIN'!$A$1:$O$88,15,0)),0,VLOOKUP($S$172,'TAR FIN'!$A$1:$O$88,15,0))</f>
        <v>0</v>
      </c>
      <c r="W172" s="4">
        <f>IF(ISERROR(VLOOKUP($T$172,'TAR FIN'!$A$1:$O$88,15,0)),0,VLOOKUP($T$172,'TAR FIN'!$A$1:$O$88,15,0))</f>
        <v>269.45</v>
      </c>
      <c r="X172" s="4">
        <f>IF(ISERROR(VLOOKUP($U$172,'TAR FIN'!$A$1:$O$88,15,0)),0,VLOOKUP($U$172,'TAR FIN'!$A$1:$O$88,15,0))</f>
        <v>213.27</v>
      </c>
      <c r="Y172" s="4"/>
      <c r="Z172" s="4">
        <f ca="1">('TUSD BE'!$AM$33+'TUSD BF'!$AM$33+'TUSD CVA'!$AM$33)*(1-CUSTOS!$M$38)</f>
        <v>421.14033355107131</v>
      </c>
      <c r="AA172" s="4">
        <f>('TE BE'!$AB$23+'TE BF'!$AB$23+'TE CVA'!$AB$23)*(1-CUSTOS!$M$38)</f>
        <v>179.54706321936715</v>
      </c>
      <c r="AB172" s="4">
        <f>$K$172*$V$172</f>
        <v>0</v>
      </c>
      <c r="AC172" s="4">
        <f>$M$172*$W$172</f>
        <v>548.86964999999998</v>
      </c>
      <c r="AD172" s="4">
        <f>$O$172*$X$172</f>
        <v>434.43099000000001</v>
      </c>
      <c r="AE172" s="4">
        <f>$K$172*$Y$172</f>
        <v>0</v>
      </c>
      <c r="AF172" s="4">
        <f ca="1">$M$172*$Z$172</f>
        <v>857.86285944353222</v>
      </c>
      <c r="AG172" s="4">
        <f>$O$172*$AA$172</f>
        <v>365.73736777785086</v>
      </c>
    </row>
    <row r="173" spans="1:33" ht="11.25" customHeight="1" x14ac:dyDescent="0.3">
      <c r="A173" s="3" t="s">
        <v>28</v>
      </c>
      <c r="B173" s="3" t="s">
        <v>42</v>
      </c>
      <c r="C173" s="3" t="s">
        <v>23</v>
      </c>
      <c r="D173" s="3" t="s">
        <v>43</v>
      </c>
      <c r="E173" s="3" t="s">
        <v>51</v>
      </c>
      <c r="F173" s="3" t="s">
        <v>52</v>
      </c>
      <c r="G173" s="3" t="s">
        <v>25</v>
      </c>
      <c r="H173" s="3" t="s">
        <v>25</v>
      </c>
      <c r="I173" s="6">
        <v>44621</v>
      </c>
      <c r="J173" s="4">
        <v>0</v>
      </c>
      <c r="K173" s="4">
        <v>0</v>
      </c>
      <c r="L173" s="4">
        <v>0.05</v>
      </c>
      <c r="M173" s="4">
        <v>0.05</v>
      </c>
      <c r="N173" s="4">
        <v>0.05</v>
      </c>
      <c r="O173" s="4">
        <v>0.05</v>
      </c>
      <c r="P173" s="4">
        <v>0</v>
      </c>
      <c r="Q173" s="3" t="s">
        <v>26</v>
      </c>
      <c r="R173" s="3">
        <v>0</v>
      </c>
      <c r="S173" s="4">
        <v>0</v>
      </c>
      <c r="T173" s="4">
        <v>31</v>
      </c>
      <c r="U173" s="4">
        <v>69</v>
      </c>
      <c r="V173" s="4">
        <f>IF(ISERROR(VLOOKUP($S$173,'TAR FIN'!$A$1:$O$88,15,0)),0,VLOOKUP($S$173,'TAR FIN'!$A$1:$O$88,15,0))</f>
        <v>0</v>
      </c>
      <c r="W173" s="4">
        <f>IF(ISERROR(VLOOKUP($T$173,'TAR FIN'!$A$1:$O$88,15,0)),0,VLOOKUP($T$173,'TAR FIN'!$A$1:$O$88,15,0))</f>
        <v>269.45</v>
      </c>
      <c r="X173" s="4">
        <f>IF(ISERROR(VLOOKUP($U$173,'TAR FIN'!$A$1:$O$88,15,0)),0,VLOOKUP($U$173,'TAR FIN'!$A$1:$O$88,15,0))</f>
        <v>213.27</v>
      </c>
      <c r="Y173" s="4"/>
      <c r="Z173" s="4">
        <f ca="1">('TUSD BE'!$AM$33+'TUSD BF'!$AM$33+'TUSD CVA'!$AM$33)*(1-CUSTOS!$M$38)</f>
        <v>421.14033355107131</v>
      </c>
      <c r="AA173" s="4">
        <f>('TE BE'!$AB$23+'TE BF'!$AB$23+'TE CVA'!$AB$23)*(1-CUSTOS!$M$38)</f>
        <v>179.54706321936715</v>
      </c>
      <c r="AB173" s="4">
        <f>$K$173*$V$173</f>
        <v>0</v>
      </c>
      <c r="AC173" s="4">
        <f>$M$173*$W$173</f>
        <v>13.4725</v>
      </c>
      <c r="AD173" s="4">
        <f>$O$173*$X$173</f>
        <v>10.663500000000001</v>
      </c>
      <c r="AE173" s="4">
        <f>$K$173*$Y$173</f>
        <v>0</v>
      </c>
      <c r="AF173" s="4">
        <f ca="1">$M$173*$Z$173</f>
        <v>21.057016677553566</v>
      </c>
      <c r="AG173" s="4">
        <f>$O$173*$AA$173</f>
        <v>8.9773531609683577</v>
      </c>
    </row>
    <row r="174" spans="1:33" ht="11.25" customHeight="1" x14ac:dyDescent="0.3">
      <c r="A174" s="3" t="s">
        <v>21</v>
      </c>
      <c r="B174" s="3" t="s">
        <v>42</v>
      </c>
      <c r="C174" s="3" t="s">
        <v>23</v>
      </c>
      <c r="D174" s="3" t="s">
        <v>43</v>
      </c>
      <c r="E174" s="3" t="s">
        <v>51</v>
      </c>
      <c r="F174" s="3" t="s">
        <v>52</v>
      </c>
      <c r="G174" s="3" t="s">
        <v>25</v>
      </c>
      <c r="H174" s="3" t="s">
        <v>25</v>
      </c>
      <c r="I174" s="6">
        <v>44652</v>
      </c>
      <c r="J174" s="4">
        <v>0</v>
      </c>
      <c r="K174" s="4">
        <v>0</v>
      </c>
      <c r="L174" s="4">
        <v>0.86</v>
      </c>
      <c r="M174" s="4">
        <v>0.86</v>
      </c>
      <c r="N174" s="4">
        <v>0.86</v>
      </c>
      <c r="O174" s="4">
        <v>0.86</v>
      </c>
      <c r="P174" s="4">
        <v>0</v>
      </c>
      <c r="Q174" s="3" t="s">
        <v>26</v>
      </c>
      <c r="R174" s="3">
        <v>0</v>
      </c>
      <c r="S174" s="4">
        <v>0</v>
      </c>
      <c r="T174" s="4">
        <v>31</v>
      </c>
      <c r="U174" s="4">
        <v>69</v>
      </c>
      <c r="V174" s="4">
        <f>IF(ISERROR(VLOOKUP($S$174,'TAR FIN'!$A$1:$O$88,15,0)),0,VLOOKUP($S$174,'TAR FIN'!$A$1:$O$88,15,0))</f>
        <v>0</v>
      </c>
      <c r="W174" s="4">
        <f>IF(ISERROR(VLOOKUP($T$174,'TAR FIN'!$A$1:$O$88,15,0)),0,VLOOKUP($T$174,'TAR FIN'!$A$1:$O$88,15,0))</f>
        <v>269.45</v>
      </c>
      <c r="X174" s="4">
        <f>IF(ISERROR(VLOOKUP($U$174,'TAR FIN'!$A$1:$O$88,15,0)),0,VLOOKUP($U$174,'TAR FIN'!$A$1:$O$88,15,0))</f>
        <v>213.27</v>
      </c>
      <c r="Y174" s="4"/>
      <c r="Z174" s="4">
        <f ca="1">('TUSD BE'!$AM$33+'TUSD BF'!$AM$33+'TUSD CVA'!$AM$33)*(1-CUSTOS!$M$38)</f>
        <v>421.14033355107131</v>
      </c>
      <c r="AA174" s="4">
        <f>('TE BE'!$AB$23+'TE BF'!$AB$23+'TE CVA'!$AB$23)*(1-CUSTOS!$M$38)</f>
        <v>179.54706321936715</v>
      </c>
      <c r="AB174" s="4">
        <f>$K$174*$V$174</f>
        <v>0</v>
      </c>
      <c r="AC174" s="4">
        <f>$M$174*$W$174</f>
        <v>231.72699999999998</v>
      </c>
      <c r="AD174" s="4">
        <f>$O$174*$X$174</f>
        <v>183.41220000000001</v>
      </c>
      <c r="AE174" s="4">
        <f>$K$174*$Y$174</f>
        <v>0</v>
      </c>
      <c r="AF174" s="4">
        <f ca="1">$M$174*$Z$174</f>
        <v>362.18068685392132</v>
      </c>
      <c r="AG174" s="4">
        <f>$O$174*$AA$174</f>
        <v>154.41047436865574</v>
      </c>
    </row>
    <row r="175" spans="1:33" ht="11.25" customHeight="1" x14ac:dyDescent="0.3">
      <c r="A175" s="3" t="s">
        <v>27</v>
      </c>
      <c r="B175" s="3" t="s">
        <v>42</v>
      </c>
      <c r="C175" s="3" t="s">
        <v>23</v>
      </c>
      <c r="D175" s="3" t="s">
        <v>43</v>
      </c>
      <c r="E175" s="3" t="s">
        <v>51</v>
      </c>
      <c r="F175" s="3" t="s">
        <v>52</v>
      </c>
      <c r="G175" s="3" t="s">
        <v>25</v>
      </c>
      <c r="H175" s="3" t="s">
        <v>25</v>
      </c>
      <c r="I175" s="6">
        <v>44652</v>
      </c>
      <c r="J175" s="4">
        <v>0</v>
      </c>
      <c r="K175" s="4">
        <v>0</v>
      </c>
      <c r="L175" s="4">
        <v>-0.65700000000000003</v>
      </c>
      <c r="M175" s="4">
        <v>-0.65700000000000003</v>
      </c>
      <c r="N175" s="4">
        <v>-0.65700000000000003</v>
      </c>
      <c r="O175" s="4">
        <v>-0.65700000000000003</v>
      </c>
      <c r="P175" s="4">
        <v>0</v>
      </c>
      <c r="Q175" s="3" t="s">
        <v>26</v>
      </c>
      <c r="R175" s="3">
        <v>0</v>
      </c>
      <c r="S175" s="4">
        <v>0</v>
      </c>
      <c r="T175" s="4">
        <v>31</v>
      </c>
      <c r="U175" s="4">
        <v>69</v>
      </c>
      <c r="V175" s="4">
        <f>IF(ISERROR(VLOOKUP($S$175,'TAR FIN'!$A$1:$O$88,15,0)),0,VLOOKUP($S$175,'TAR FIN'!$A$1:$O$88,15,0))</f>
        <v>0</v>
      </c>
      <c r="W175" s="4">
        <f>IF(ISERROR(VLOOKUP($T$175,'TAR FIN'!$A$1:$O$88,15,0)),0,VLOOKUP($T$175,'TAR FIN'!$A$1:$O$88,15,0))</f>
        <v>269.45</v>
      </c>
      <c r="X175" s="4">
        <f>IF(ISERROR(VLOOKUP($U$175,'TAR FIN'!$A$1:$O$88,15,0)),0,VLOOKUP($U$175,'TAR FIN'!$A$1:$O$88,15,0))</f>
        <v>213.27</v>
      </c>
      <c r="Y175" s="4"/>
      <c r="Z175" s="4">
        <f ca="1">('TUSD BE'!$AM$33+'TUSD BF'!$AM$33+'TUSD CVA'!$AM$33)*(1-CUSTOS!$M$38)</f>
        <v>421.14033355107131</v>
      </c>
      <c r="AA175" s="4">
        <f>('TE BE'!$AB$23+'TE BF'!$AB$23+'TE CVA'!$AB$23)*(1-CUSTOS!$M$38)</f>
        <v>179.54706321936715</v>
      </c>
      <c r="AB175" s="4">
        <f>$K$175*$V$175</f>
        <v>0</v>
      </c>
      <c r="AC175" s="4">
        <f>$M$175*$W$175</f>
        <v>-177.02865</v>
      </c>
      <c r="AD175" s="4">
        <f>$O$175*$X$175</f>
        <v>-140.11839000000001</v>
      </c>
      <c r="AE175" s="4">
        <f>$K$175*$Y$175</f>
        <v>0</v>
      </c>
      <c r="AF175" s="4">
        <f ca="1">$M$175*$Z$175</f>
        <v>-276.68919914305388</v>
      </c>
      <c r="AG175" s="4">
        <f>$O$175*$AA$175</f>
        <v>-117.96242053512422</v>
      </c>
    </row>
    <row r="176" spans="1:33" ht="11.25" customHeight="1" x14ac:dyDescent="0.3">
      <c r="A176" s="3" t="s">
        <v>21</v>
      </c>
      <c r="B176" s="3" t="s">
        <v>42</v>
      </c>
      <c r="C176" s="3" t="s">
        <v>23</v>
      </c>
      <c r="D176" s="3" t="s">
        <v>43</v>
      </c>
      <c r="E176" s="3" t="s">
        <v>51</v>
      </c>
      <c r="F176" s="3" t="s">
        <v>52</v>
      </c>
      <c r="G176" s="3" t="s">
        <v>25</v>
      </c>
      <c r="H176" s="3" t="s">
        <v>25</v>
      </c>
      <c r="I176" s="6">
        <v>44682</v>
      </c>
      <c r="J176" s="4">
        <v>0</v>
      </c>
      <c r="K176" s="4">
        <v>0</v>
      </c>
      <c r="L176" s="4">
        <v>0.57999999999999996</v>
      </c>
      <c r="M176" s="4">
        <v>0.57999999999999996</v>
      </c>
      <c r="N176" s="4">
        <v>0.57999999999999996</v>
      </c>
      <c r="O176" s="4">
        <v>0.57999999999999996</v>
      </c>
      <c r="P176" s="4">
        <v>0</v>
      </c>
      <c r="Q176" s="3" t="s">
        <v>26</v>
      </c>
      <c r="R176" s="3">
        <v>0</v>
      </c>
      <c r="S176" s="4">
        <v>0</v>
      </c>
      <c r="T176" s="4">
        <v>31</v>
      </c>
      <c r="U176" s="4">
        <v>69</v>
      </c>
      <c r="V176" s="4">
        <f>IF(ISERROR(VLOOKUP($S$176,'TAR FIN'!$A$1:$O$88,15,0)),0,VLOOKUP($S$176,'TAR FIN'!$A$1:$O$88,15,0))</f>
        <v>0</v>
      </c>
      <c r="W176" s="4">
        <f>IF(ISERROR(VLOOKUP($T$176,'TAR FIN'!$A$1:$O$88,15,0)),0,VLOOKUP($T$176,'TAR FIN'!$A$1:$O$88,15,0))</f>
        <v>269.45</v>
      </c>
      <c r="X176" s="4">
        <f>IF(ISERROR(VLOOKUP($U$176,'TAR FIN'!$A$1:$O$88,15,0)),0,VLOOKUP($U$176,'TAR FIN'!$A$1:$O$88,15,0))</f>
        <v>213.27</v>
      </c>
      <c r="Y176" s="4"/>
      <c r="Z176" s="4">
        <f ca="1">('TUSD BE'!$AM$33+'TUSD BF'!$AM$33+'TUSD CVA'!$AM$33)*(1-CUSTOS!$M$38)</f>
        <v>421.14033355107131</v>
      </c>
      <c r="AA176" s="4">
        <f>('TE BE'!$AB$23+'TE BF'!$AB$23+'TE CVA'!$AB$23)*(1-CUSTOS!$M$38)</f>
        <v>179.54706321936715</v>
      </c>
      <c r="AB176" s="4">
        <f>$K$176*$V$176</f>
        <v>0</v>
      </c>
      <c r="AC176" s="4">
        <f>$M$176*$W$176</f>
        <v>156.28099999999998</v>
      </c>
      <c r="AD176" s="4">
        <f>$O$176*$X$176</f>
        <v>123.6966</v>
      </c>
      <c r="AE176" s="4">
        <f>$K$176*$Y$176</f>
        <v>0</v>
      </c>
      <c r="AF176" s="4">
        <f ca="1">$M$176*$Z$176</f>
        <v>244.26139345962133</v>
      </c>
      <c r="AG176" s="4">
        <f>$O$176*$AA$176</f>
        <v>104.13729666723293</v>
      </c>
    </row>
    <row r="177" spans="1:33" ht="11.25" customHeight="1" x14ac:dyDescent="0.3">
      <c r="A177" s="3" t="s">
        <v>27</v>
      </c>
      <c r="B177" s="3" t="s">
        <v>42</v>
      </c>
      <c r="C177" s="3" t="s">
        <v>23</v>
      </c>
      <c r="D177" s="3" t="s">
        <v>43</v>
      </c>
      <c r="E177" s="3" t="s">
        <v>51</v>
      </c>
      <c r="F177" s="3" t="s">
        <v>52</v>
      </c>
      <c r="G177" s="3" t="s">
        <v>25</v>
      </c>
      <c r="H177" s="3" t="s">
        <v>25</v>
      </c>
      <c r="I177" s="6">
        <v>44682</v>
      </c>
      <c r="J177" s="4">
        <v>0</v>
      </c>
      <c r="K177" s="4">
        <v>0</v>
      </c>
      <c r="L177" s="4">
        <v>-9.4E-2</v>
      </c>
      <c r="M177" s="4">
        <v>-9.4E-2</v>
      </c>
      <c r="N177" s="4">
        <v>-9.4E-2</v>
      </c>
      <c r="O177" s="4">
        <v>-9.4E-2</v>
      </c>
      <c r="P177" s="4">
        <v>0</v>
      </c>
      <c r="Q177" s="3" t="s">
        <v>26</v>
      </c>
      <c r="R177" s="3">
        <v>0</v>
      </c>
      <c r="S177" s="4">
        <v>0</v>
      </c>
      <c r="T177" s="4">
        <v>31</v>
      </c>
      <c r="U177" s="4">
        <v>69</v>
      </c>
      <c r="V177" s="4">
        <f>IF(ISERROR(VLOOKUP($S$177,'TAR FIN'!$A$1:$O$88,15,0)),0,VLOOKUP($S$177,'TAR FIN'!$A$1:$O$88,15,0))</f>
        <v>0</v>
      </c>
      <c r="W177" s="4">
        <f>IF(ISERROR(VLOOKUP($T$177,'TAR FIN'!$A$1:$O$88,15,0)),0,VLOOKUP($T$177,'TAR FIN'!$A$1:$O$88,15,0))</f>
        <v>269.45</v>
      </c>
      <c r="X177" s="4">
        <f>IF(ISERROR(VLOOKUP($U$177,'TAR FIN'!$A$1:$O$88,15,0)),0,VLOOKUP($U$177,'TAR FIN'!$A$1:$O$88,15,0))</f>
        <v>213.27</v>
      </c>
      <c r="Y177" s="4"/>
      <c r="Z177" s="4">
        <f ca="1">('TUSD BE'!$AM$33+'TUSD BF'!$AM$33+'TUSD CVA'!$AM$33)*(1-CUSTOS!$M$38)</f>
        <v>421.14033355107131</v>
      </c>
      <c r="AA177" s="4">
        <f>('TE BE'!$AB$23+'TE BF'!$AB$23+'TE CVA'!$AB$23)*(1-CUSTOS!$M$38)</f>
        <v>179.54706321936715</v>
      </c>
      <c r="AB177" s="4">
        <f>$K$177*$V$177</f>
        <v>0</v>
      </c>
      <c r="AC177" s="4">
        <f>$M$177*$W$177</f>
        <v>-25.328299999999999</v>
      </c>
      <c r="AD177" s="4">
        <f>$O$177*$X$177</f>
        <v>-20.04738</v>
      </c>
      <c r="AE177" s="4">
        <f>$K$177*$Y$177</f>
        <v>0</v>
      </c>
      <c r="AF177" s="4">
        <f ca="1">$M$177*$Z$177</f>
        <v>-39.587191353800705</v>
      </c>
      <c r="AG177" s="4">
        <f>$O$177*$AA$177</f>
        <v>-16.877423942620513</v>
      </c>
    </row>
    <row r="178" spans="1:33" ht="11.25" customHeight="1" x14ac:dyDescent="0.3">
      <c r="A178" s="3" t="s">
        <v>21</v>
      </c>
      <c r="B178" s="3" t="s">
        <v>42</v>
      </c>
      <c r="C178" s="3" t="s">
        <v>23</v>
      </c>
      <c r="D178" s="3" t="s">
        <v>43</v>
      </c>
      <c r="E178" s="3" t="s">
        <v>51</v>
      </c>
      <c r="F178" s="3" t="s">
        <v>52</v>
      </c>
      <c r="G178" s="3" t="s">
        <v>25</v>
      </c>
      <c r="H178" s="3" t="s">
        <v>25</v>
      </c>
      <c r="I178" s="6">
        <v>44713</v>
      </c>
      <c r="J178" s="4">
        <v>0</v>
      </c>
      <c r="K178" s="4">
        <v>0</v>
      </c>
      <c r="L178" s="4">
        <v>1.6779999999999999</v>
      </c>
      <c r="M178" s="4">
        <v>1.6779999999999999</v>
      </c>
      <c r="N178" s="4">
        <v>1.6779999999999999</v>
      </c>
      <c r="O178" s="4">
        <v>1.6779999999999999</v>
      </c>
      <c r="P178" s="4">
        <v>0</v>
      </c>
      <c r="Q178" s="3" t="s">
        <v>26</v>
      </c>
      <c r="R178" s="3">
        <v>0</v>
      </c>
      <c r="S178" s="4">
        <v>0</v>
      </c>
      <c r="T178" s="4">
        <v>31</v>
      </c>
      <c r="U178" s="4">
        <v>69</v>
      </c>
      <c r="V178" s="4">
        <f>IF(ISERROR(VLOOKUP($S$178,'TAR FIN'!$A$1:$O$88,15,0)),0,VLOOKUP($S$178,'TAR FIN'!$A$1:$O$88,15,0))</f>
        <v>0</v>
      </c>
      <c r="W178" s="4">
        <f>IF(ISERROR(VLOOKUP($T$178,'TAR FIN'!$A$1:$O$88,15,0)),0,VLOOKUP($T$178,'TAR FIN'!$A$1:$O$88,15,0))</f>
        <v>269.45</v>
      </c>
      <c r="X178" s="4">
        <f>IF(ISERROR(VLOOKUP($U$178,'TAR FIN'!$A$1:$O$88,15,0)),0,VLOOKUP($U$178,'TAR FIN'!$A$1:$O$88,15,0))</f>
        <v>213.27</v>
      </c>
      <c r="Y178" s="4"/>
      <c r="Z178" s="4">
        <f ca="1">('TUSD BE'!$AM$33+'TUSD BF'!$AM$33+'TUSD CVA'!$AM$33)*(1-CUSTOS!$M$38)</f>
        <v>421.14033355107131</v>
      </c>
      <c r="AA178" s="4">
        <f>('TE BE'!$AB$23+'TE BF'!$AB$23+'TE CVA'!$AB$23)*(1-CUSTOS!$M$38)</f>
        <v>179.54706321936715</v>
      </c>
      <c r="AB178" s="4">
        <f>$K$178*$V$178</f>
        <v>0</v>
      </c>
      <c r="AC178" s="4">
        <f>$M$178*$W$178</f>
        <v>452.13709999999998</v>
      </c>
      <c r="AD178" s="4">
        <f>$O$178*$X$178</f>
        <v>357.86705999999998</v>
      </c>
      <c r="AE178" s="4">
        <f>$K$178*$Y$178</f>
        <v>0</v>
      </c>
      <c r="AF178" s="4">
        <f ca="1">$M$178*$Z$178</f>
        <v>706.67347969869763</v>
      </c>
      <c r="AG178" s="4">
        <f>$O$178*$AA$178</f>
        <v>301.27997208209808</v>
      </c>
    </row>
    <row r="179" spans="1:33" ht="11.25" customHeight="1" x14ac:dyDescent="0.3">
      <c r="A179" s="3" t="s">
        <v>28</v>
      </c>
      <c r="B179" s="3" t="s">
        <v>42</v>
      </c>
      <c r="C179" s="3" t="s">
        <v>23</v>
      </c>
      <c r="D179" s="3" t="s">
        <v>43</v>
      </c>
      <c r="E179" s="3" t="s">
        <v>51</v>
      </c>
      <c r="F179" s="3" t="s">
        <v>52</v>
      </c>
      <c r="G179" s="3" t="s">
        <v>25</v>
      </c>
      <c r="H179" s="3" t="s">
        <v>25</v>
      </c>
      <c r="I179" s="6">
        <v>44713</v>
      </c>
      <c r="J179" s="4">
        <v>0</v>
      </c>
      <c r="K179" s="4">
        <v>0</v>
      </c>
      <c r="L179" s="4">
        <v>7.2999999999999995E-2</v>
      </c>
      <c r="M179" s="4">
        <v>7.2999999999999995E-2</v>
      </c>
      <c r="N179" s="4">
        <v>7.2999999999999995E-2</v>
      </c>
      <c r="O179" s="4">
        <v>7.2999999999999995E-2</v>
      </c>
      <c r="P179" s="4">
        <v>0</v>
      </c>
      <c r="Q179" s="3" t="s">
        <v>26</v>
      </c>
      <c r="R179" s="3">
        <v>0</v>
      </c>
      <c r="S179" s="4">
        <v>0</v>
      </c>
      <c r="T179" s="4">
        <v>31</v>
      </c>
      <c r="U179" s="4">
        <v>69</v>
      </c>
      <c r="V179" s="4">
        <f>IF(ISERROR(VLOOKUP($S$179,'TAR FIN'!$A$1:$O$88,15,0)),0,VLOOKUP($S$179,'TAR FIN'!$A$1:$O$88,15,0))</f>
        <v>0</v>
      </c>
      <c r="W179" s="4">
        <f>IF(ISERROR(VLOOKUP($T$179,'TAR FIN'!$A$1:$O$88,15,0)),0,VLOOKUP($T$179,'TAR FIN'!$A$1:$O$88,15,0))</f>
        <v>269.45</v>
      </c>
      <c r="X179" s="4">
        <f>IF(ISERROR(VLOOKUP($U$179,'TAR FIN'!$A$1:$O$88,15,0)),0,VLOOKUP($U$179,'TAR FIN'!$A$1:$O$88,15,0))</f>
        <v>213.27</v>
      </c>
      <c r="Y179" s="4"/>
      <c r="Z179" s="4">
        <f ca="1">('TUSD BE'!$AM$33+'TUSD BF'!$AM$33+'TUSD CVA'!$AM$33)*(1-CUSTOS!$M$38)</f>
        <v>421.14033355107131</v>
      </c>
      <c r="AA179" s="4">
        <f>('TE BE'!$AB$23+'TE BF'!$AB$23+'TE CVA'!$AB$23)*(1-CUSTOS!$M$38)</f>
        <v>179.54706321936715</v>
      </c>
      <c r="AB179" s="4">
        <f>$K$179*$V$179</f>
        <v>0</v>
      </c>
      <c r="AC179" s="4">
        <f>$M$179*$W$179</f>
        <v>19.669849999999997</v>
      </c>
      <c r="AD179" s="4">
        <f>$O$179*$X$179</f>
        <v>15.568709999999999</v>
      </c>
      <c r="AE179" s="4">
        <f>$K$179*$Y$179</f>
        <v>0</v>
      </c>
      <c r="AF179" s="4">
        <f ca="1">$M$179*$Z$179</f>
        <v>30.743244349228203</v>
      </c>
      <c r="AG179" s="4">
        <f>$O$179*$AA$179</f>
        <v>13.106935615013802</v>
      </c>
    </row>
    <row r="180" spans="1:33" ht="11.25" customHeight="1" x14ac:dyDescent="0.3">
      <c r="A180" s="3" t="s">
        <v>21</v>
      </c>
      <c r="B180" s="3" t="s">
        <v>42</v>
      </c>
      <c r="C180" s="3" t="s">
        <v>23</v>
      </c>
      <c r="D180" s="3" t="s">
        <v>43</v>
      </c>
      <c r="E180" s="3" t="s">
        <v>51</v>
      </c>
      <c r="F180" s="3" t="s">
        <v>52</v>
      </c>
      <c r="G180" s="3" t="s">
        <v>25</v>
      </c>
      <c r="H180" s="3" t="s">
        <v>25</v>
      </c>
      <c r="I180" s="6">
        <v>44743</v>
      </c>
      <c r="J180" s="4">
        <v>0</v>
      </c>
      <c r="K180" s="4">
        <v>0</v>
      </c>
      <c r="L180" s="4">
        <v>1.625</v>
      </c>
      <c r="M180" s="4">
        <v>1.625</v>
      </c>
      <c r="N180" s="4">
        <v>1.625</v>
      </c>
      <c r="O180" s="4">
        <v>1.625</v>
      </c>
      <c r="P180" s="4">
        <v>0</v>
      </c>
      <c r="Q180" s="3" t="s">
        <v>26</v>
      </c>
      <c r="R180" s="3">
        <v>0</v>
      </c>
      <c r="S180" s="4">
        <v>0</v>
      </c>
      <c r="T180" s="4">
        <v>31</v>
      </c>
      <c r="U180" s="4">
        <v>69</v>
      </c>
      <c r="V180" s="4">
        <f>IF(ISERROR(VLOOKUP($S$180,'TAR FIN'!$A$1:$O$88,15,0)),0,VLOOKUP($S$180,'TAR FIN'!$A$1:$O$88,15,0))</f>
        <v>0</v>
      </c>
      <c r="W180" s="4">
        <f>IF(ISERROR(VLOOKUP($T$180,'TAR FIN'!$A$1:$O$88,15,0)),0,VLOOKUP($T$180,'TAR FIN'!$A$1:$O$88,15,0))</f>
        <v>269.45</v>
      </c>
      <c r="X180" s="4">
        <f>IF(ISERROR(VLOOKUP($U$180,'TAR FIN'!$A$1:$O$88,15,0)),0,VLOOKUP($U$180,'TAR FIN'!$A$1:$O$88,15,0))</f>
        <v>213.27</v>
      </c>
      <c r="Y180" s="4"/>
      <c r="Z180" s="4">
        <f ca="1">('TUSD BE'!$AM$33+'TUSD BF'!$AM$33+'TUSD CVA'!$AM$33)*(1-CUSTOS!$M$38)</f>
        <v>421.14033355107131</v>
      </c>
      <c r="AA180" s="4">
        <f>('TE BE'!$AB$23+'TE BF'!$AB$23+'TE CVA'!$AB$23)*(1-CUSTOS!$M$38)</f>
        <v>179.54706321936715</v>
      </c>
      <c r="AB180" s="4">
        <f>$K$180*$V$180</f>
        <v>0</v>
      </c>
      <c r="AC180" s="4">
        <f>$M$180*$W$180</f>
        <v>437.85624999999999</v>
      </c>
      <c r="AD180" s="4">
        <f>$O$180*$X$180</f>
        <v>346.56375000000003</v>
      </c>
      <c r="AE180" s="4">
        <f>$K$180*$Y$180</f>
        <v>0</v>
      </c>
      <c r="AF180" s="4">
        <f ca="1">$M$180*$Z$180</f>
        <v>684.35304202049088</v>
      </c>
      <c r="AG180" s="4">
        <f>$O$180*$AA$180</f>
        <v>291.76397773147164</v>
      </c>
    </row>
    <row r="181" spans="1:33" ht="11.25" customHeight="1" x14ac:dyDescent="0.3">
      <c r="A181" s="3" t="s">
        <v>55</v>
      </c>
      <c r="B181" s="3" t="s">
        <v>42</v>
      </c>
      <c r="C181" s="3" t="s">
        <v>23</v>
      </c>
      <c r="D181" s="3" t="s">
        <v>43</v>
      </c>
      <c r="E181" s="3" t="s">
        <v>51</v>
      </c>
      <c r="F181" s="3" t="s">
        <v>52</v>
      </c>
      <c r="G181" s="3" t="s">
        <v>25</v>
      </c>
      <c r="H181" s="3" t="s">
        <v>25</v>
      </c>
      <c r="I181" s="6">
        <v>44774</v>
      </c>
      <c r="J181" s="4">
        <v>0</v>
      </c>
      <c r="K181" s="4">
        <v>0</v>
      </c>
      <c r="L181" s="4">
        <v>1.625</v>
      </c>
      <c r="M181" s="4">
        <v>1.625</v>
      </c>
      <c r="N181" s="4">
        <v>1.625</v>
      </c>
      <c r="O181" s="4">
        <v>1.625</v>
      </c>
      <c r="P181" s="4">
        <v>0</v>
      </c>
      <c r="Q181" s="3" t="s">
        <v>26</v>
      </c>
      <c r="R181" s="3">
        <v>0</v>
      </c>
      <c r="S181" s="4">
        <v>0</v>
      </c>
      <c r="T181" s="4">
        <v>31</v>
      </c>
      <c r="U181" s="4">
        <v>69</v>
      </c>
      <c r="V181" s="4">
        <f>IF(ISERROR(VLOOKUP($S$181,'TAR FIN'!$A$1:$O$88,15,0)),0,VLOOKUP($S$181,'TAR FIN'!$A$1:$O$88,15,0))</f>
        <v>0</v>
      </c>
      <c r="W181" s="4">
        <f>IF(ISERROR(VLOOKUP($T$181,'TAR FIN'!$A$1:$O$88,15,0)),0,VLOOKUP($T$181,'TAR FIN'!$A$1:$O$88,15,0))</f>
        <v>269.45</v>
      </c>
      <c r="X181" s="4">
        <f>IF(ISERROR(VLOOKUP($U$181,'TAR FIN'!$A$1:$O$88,15,0)),0,VLOOKUP($U$181,'TAR FIN'!$A$1:$O$88,15,0))</f>
        <v>213.27</v>
      </c>
      <c r="Y181" s="4"/>
      <c r="Z181" s="4">
        <f ca="1">('TUSD BE'!$AM$33+'TUSD BF'!$AM$33+'TUSD CVA'!$AM$33)*(1-CUSTOS!$M$38)</f>
        <v>421.14033355107131</v>
      </c>
      <c r="AA181" s="4">
        <f>('TE BE'!$AB$23+'TE BF'!$AB$23+'TE CVA'!$AB$23)*(1-CUSTOS!$M$38)</f>
        <v>179.54706321936715</v>
      </c>
      <c r="AB181" s="4">
        <f>$K$181*$V$181</f>
        <v>0</v>
      </c>
      <c r="AC181" s="4">
        <f>$M$181*$W$181</f>
        <v>437.85624999999999</v>
      </c>
      <c r="AD181" s="4">
        <f>$O$181*$X$181</f>
        <v>346.56375000000003</v>
      </c>
      <c r="AE181" s="4">
        <f>$K$181*$Y$181</f>
        <v>0</v>
      </c>
      <c r="AF181" s="4">
        <f ca="1">$M$181*$Z$181</f>
        <v>684.35304202049088</v>
      </c>
      <c r="AG181" s="4">
        <f>$O$181*$AA$181</f>
        <v>291.76397773147164</v>
      </c>
    </row>
    <row r="182" spans="1:33" ht="11.25" customHeight="1" x14ac:dyDescent="0.3">
      <c r="A182" s="3" t="s">
        <v>21</v>
      </c>
      <c r="B182" s="3" t="s">
        <v>42</v>
      </c>
      <c r="C182" s="3" t="s">
        <v>23</v>
      </c>
      <c r="D182" s="3" t="s">
        <v>43</v>
      </c>
      <c r="E182" s="3" t="s">
        <v>51</v>
      </c>
      <c r="F182" s="3" t="s">
        <v>53</v>
      </c>
      <c r="G182" s="3" t="s">
        <v>25</v>
      </c>
      <c r="H182" s="3" t="s">
        <v>25</v>
      </c>
      <c r="I182" s="6">
        <v>44440</v>
      </c>
      <c r="J182" s="4">
        <v>0</v>
      </c>
      <c r="K182" s="4">
        <v>0</v>
      </c>
      <c r="L182" s="4">
        <v>6.2990000000000004</v>
      </c>
      <c r="M182" s="4">
        <v>2.5196000000000001</v>
      </c>
      <c r="N182" s="4">
        <v>6.2990000000000004</v>
      </c>
      <c r="O182" s="4">
        <v>2.5196000000000001</v>
      </c>
      <c r="P182" s="4">
        <v>0</v>
      </c>
      <c r="Q182" s="3" t="s">
        <v>26</v>
      </c>
      <c r="R182" s="3">
        <v>0</v>
      </c>
      <c r="S182" s="4">
        <v>0</v>
      </c>
      <c r="T182" s="4">
        <v>31</v>
      </c>
      <c r="U182" s="4">
        <v>69</v>
      </c>
      <c r="V182" s="4">
        <f>IF(ISERROR(VLOOKUP($S$182,'TAR FIN'!$A$1:$O$88,15,0)),0,VLOOKUP($S$182,'TAR FIN'!$A$1:$O$88,15,0))</f>
        <v>0</v>
      </c>
      <c r="W182" s="4">
        <f>IF(ISERROR(VLOOKUP($T$182,'TAR FIN'!$A$1:$O$88,15,0)),0,VLOOKUP($T$182,'TAR FIN'!$A$1:$O$88,15,0))</f>
        <v>269.45</v>
      </c>
      <c r="X182" s="4">
        <f>IF(ISERROR(VLOOKUP($U$182,'TAR FIN'!$A$1:$O$88,15,0)),0,VLOOKUP($U$182,'TAR FIN'!$A$1:$O$88,15,0))</f>
        <v>213.27</v>
      </c>
      <c r="Y182" s="4"/>
      <c r="Z182" s="4">
        <f ca="1">('TUSD BE'!$AM$33+'TUSD BF'!$AM$33+'TUSD CVA'!$AM$33)*(1-CUSTOS!$M$38)</f>
        <v>421.14033355107131</v>
      </c>
      <c r="AA182" s="4">
        <f>('TE BE'!$AB$23+'TE BF'!$AB$23+'TE CVA'!$AB$23)*(1-CUSTOS!$M$38)</f>
        <v>179.54706321936715</v>
      </c>
      <c r="AB182" s="4">
        <f>$K$182*$V$182</f>
        <v>0</v>
      </c>
      <c r="AC182" s="4">
        <f>$M$182*$W$182</f>
        <v>678.90621999999996</v>
      </c>
      <c r="AD182" s="4">
        <f>$O$182*$X$182</f>
        <v>537.35509200000001</v>
      </c>
      <c r="AE182" s="4">
        <f>$K$182*$Y$182</f>
        <v>0</v>
      </c>
      <c r="AF182" s="4">
        <f ca="1">$M$182*$Z$182</f>
        <v>1061.1051844152794</v>
      </c>
      <c r="AG182" s="4">
        <f>$O$182*$AA$182</f>
        <v>452.38678048751746</v>
      </c>
    </row>
    <row r="183" spans="1:33" ht="11.25" customHeight="1" x14ac:dyDescent="0.3">
      <c r="A183" s="3" t="s">
        <v>21</v>
      </c>
      <c r="B183" s="3" t="s">
        <v>42</v>
      </c>
      <c r="C183" s="3" t="s">
        <v>23</v>
      </c>
      <c r="D183" s="3" t="s">
        <v>43</v>
      </c>
      <c r="E183" s="3" t="s">
        <v>51</v>
      </c>
      <c r="F183" s="3" t="s">
        <v>53</v>
      </c>
      <c r="G183" s="3" t="s">
        <v>25</v>
      </c>
      <c r="H183" s="3" t="s">
        <v>25</v>
      </c>
      <c r="I183" s="6">
        <v>44470</v>
      </c>
      <c r="J183" s="4">
        <v>0</v>
      </c>
      <c r="K183" s="4">
        <v>0</v>
      </c>
      <c r="L183" s="4">
        <v>4.2409999999999997</v>
      </c>
      <c r="M183" s="4">
        <v>1.6963999999999999</v>
      </c>
      <c r="N183" s="4">
        <v>4.2409999999999997</v>
      </c>
      <c r="O183" s="4">
        <v>1.6963999999999999</v>
      </c>
      <c r="P183" s="4">
        <v>0</v>
      </c>
      <c r="Q183" s="3" t="s">
        <v>26</v>
      </c>
      <c r="R183" s="3">
        <v>0</v>
      </c>
      <c r="S183" s="4">
        <v>0</v>
      </c>
      <c r="T183" s="4">
        <v>31</v>
      </c>
      <c r="U183" s="4">
        <v>69</v>
      </c>
      <c r="V183" s="4">
        <f>IF(ISERROR(VLOOKUP($S$183,'TAR FIN'!$A$1:$O$88,15,0)),0,VLOOKUP($S$183,'TAR FIN'!$A$1:$O$88,15,0))</f>
        <v>0</v>
      </c>
      <c r="W183" s="4">
        <f>IF(ISERROR(VLOOKUP($T$183,'TAR FIN'!$A$1:$O$88,15,0)),0,VLOOKUP($T$183,'TAR FIN'!$A$1:$O$88,15,0))</f>
        <v>269.45</v>
      </c>
      <c r="X183" s="4">
        <f>IF(ISERROR(VLOOKUP($U$183,'TAR FIN'!$A$1:$O$88,15,0)),0,VLOOKUP($U$183,'TAR FIN'!$A$1:$O$88,15,0))</f>
        <v>213.27</v>
      </c>
      <c r="Y183" s="4"/>
      <c r="Z183" s="4">
        <f ca="1">('TUSD BE'!$AM$33+'TUSD BF'!$AM$33+'TUSD CVA'!$AM$33)*(1-CUSTOS!$M$38)</f>
        <v>421.14033355107131</v>
      </c>
      <c r="AA183" s="4">
        <f>('TE BE'!$AB$23+'TE BF'!$AB$23+'TE CVA'!$AB$23)*(1-CUSTOS!$M$38)</f>
        <v>179.54706321936715</v>
      </c>
      <c r="AB183" s="4">
        <f>$K$183*$V$183</f>
        <v>0</v>
      </c>
      <c r="AC183" s="4">
        <f>$M$183*$W$183</f>
        <v>457.09497999999996</v>
      </c>
      <c r="AD183" s="4">
        <f>$O$183*$X$183</f>
        <v>361.79122799999999</v>
      </c>
      <c r="AE183" s="4">
        <f>$K$183*$Y$183</f>
        <v>0</v>
      </c>
      <c r="AF183" s="4">
        <f ca="1">$M$183*$Z$183</f>
        <v>714.42246183603731</v>
      </c>
      <c r="AG183" s="4">
        <f>$O$183*$AA$183</f>
        <v>304.5836380453344</v>
      </c>
    </row>
    <row r="184" spans="1:33" ht="11.25" customHeight="1" x14ac:dyDescent="0.3">
      <c r="A184" s="3" t="s">
        <v>21</v>
      </c>
      <c r="B184" s="3" t="s">
        <v>42</v>
      </c>
      <c r="C184" s="3" t="s">
        <v>23</v>
      </c>
      <c r="D184" s="3" t="s">
        <v>43</v>
      </c>
      <c r="E184" s="3" t="s">
        <v>51</v>
      </c>
      <c r="F184" s="3" t="s">
        <v>53</v>
      </c>
      <c r="G184" s="3" t="s">
        <v>25</v>
      </c>
      <c r="H184" s="3" t="s">
        <v>25</v>
      </c>
      <c r="I184" s="6">
        <v>44501</v>
      </c>
      <c r="J184" s="4">
        <v>0</v>
      </c>
      <c r="K184" s="4">
        <v>0</v>
      </c>
      <c r="L184" s="4">
        <v>14.744</v>
      </c>
      <c r="M184" s="4">
        <v>5.8975999999999997</v>
      </c>
      <c r="N184" s="4">
        <v>14.744</v>
      </c>
      <c r="O184" s="4">
        <v>5.8975999999999997</v>
      </c>
      <c r="P184" s="4">
        <v>0</v>
      </c>
      <c r="Q184" s="3" t="s">
        <v>26</v>
      </c>
      <c r="R184" s="3">
        <v>0</v>
      </c>
      <c r="S184" s="4">
        <v>0</v>
      </c>
      <c r="T184" s="4">
        <v>31</v>
      </c>
      <c r="U184" s="4">
        <v>69</v>
      </c>
      <c r="V184" s="4">
        <f>IF(ISERROR(VLOOKUP($S$184,'TAR FIN'!$A$1:$O$88,15,0)),0,VLOOKUP($S$184,'TAR FIN'!$A$1:$O$88,15,0))</f>
        <v>0</v>
      </c>
      <c r="W184" s="4">
        <f>IF(ISERROR(VLOOKUP($T$184,'TAR FIN'!$A$1:$O$88,15,0)),0,VLOOKUP($T$184,'TAR FIN'!$A$1:$O$88,15,0))</f>
        <v>269.45</v>
      </c>
      <c r="X184" s="4">
        <f>IF(ISERROR(VLOOKUP($U$184,'TAR FIN'!$A$1:$O$88,15,0)),0,VLOOKUP($U$184,'TAR FIN'!$A$1:$O$88,15,0))</f>
        <v>213.27</v>
      </c>
      <c r="Y184" s="4"/>
      <c r="Z184" s="4">
        <f ca="1">('TUSD BE'!$AM$33+'TUSD BF'!$AM$33+'TUSD CVA'!$AM$33)*(1-CUSTOS!$M$38)</f>
        <v>421.14033355107131</v>
      </c>
      <c r="AA184" s="4">
        <f>('TE BE'!$AB$23+'TE BF'!$AB$23+'TE CVA'!$AB$23)*(1-CUSTOS!$M$38)</f>
        <v>179.54706321936715</v>
      </c>
      <c r="AB184" s="4">
        <f>$K$184*$V$184</f>
        <v>0</v>
      </c>
      <c r="AC184" s="4">
        <f>$M$184*$W$184</f>
        <v>1589.1083199999998</v>
      </c>
      <c r="AD184" s="4">
        <f>$O$184*$X$184</f>
        <v>1257.781152</v>
      </c>
      <c r="AE184" s="4">
        <f>$K$184*$Y$184</f>
        <v>0</v>
      </c>
      <c r="AF184" s="4">
        <f ca="1">$M$184*$Z$184</f>
        <v>2483.7172311507979</v>
      </c>
      <c r="AG184" s="4">
        <f>$O$184*$AA$184</f>
        <v>1058.8967600425397</v>
      </c>
    </row>
    <row r="185" spans="1:33" ht="11.25" customHeight="1" x14ac:dyDescent="0.3">
      <c r="A185" s="3" t="s">
        <v>21</v>
      </c>
      <c r="B185" s="3" t="s">
        <v>42</v>
      </c>
      <c r="C185" s="3" t="s">
        <v>23</v>
      </c>
      <c r="D185" s="3" t="s">
        <v>43</v>
      </c>
      <c r="E185" s="3" t="s">
        <v>51</v>
      </c>
      <c r="F185" s="3" t="s">
        <v>53</v>
      </c>
      <c r="G185" s="3" t="s">
        <v>25</v>
      </c>
      <c r="H185" s="3" t="s">
        <v>25</v>
      </c>
      <c r="I185" s="6">
        <v>44531</v>
      </c>
      <c r="J185" s="4">
        <v>0</v>
      </c>
      <c r="K185" s="4">
        <v>0</v>
      </c>
      <c r="L185" s="4">
        <v>7.0330000000000004</v>
      </c>
      <c r="M185" s="4">
        <v>2.8132000000000001</v>
      </c>
      <c r="N185" s="4">
        <v>7.0330000000000004</v>
      </c>
      <c r="O185" s="4">
        <v>2.8132000000000001</v>
      </c>
      <c r="P185" s="4">
        <v>0</v>
      </c>
      <c r="Q185" s="3" t="s">
        <v>26</v>
      </c>
      <c r="R185" s="3">
        <v>0</v>
      </c>
      <c r="S185" s="4">
        <v>0</v>
      </c>
      <c r="T185" s="4">
        <v>31</v>
      </c>
      <c r="U185" s="4">
        <v>69</v>
      </c>
      <c r="V185" s="4">
        <f>IF(ISERROR(VLOOKUP($S$185,'TAR FIN'!$A$1:$O$88,15,0)),0,VLOOKUP($S$185,'TAR FIN'!$A$1:$O$88,15,0))</f>
        <v>0</v>
      </c>
      <c r="W185" s="4">
        <f>IF(ISERROR(VLOOKUP($T$185,'TAR FIN'!$A$1:$O$88,15,0)),0,VLOOKUP($T$185,'TAR FIN'!$A$1:$O$88,15,0))</f>
        <v>269.45</v>
      </c>
      <c r="X185" s="4">
        <f>IF(ISERROR(VLOOKUP($U$185,'TAR FIN'!$A$1:$O$88,15,0)),0,VLOOKUP($U$185,'TAR FIN'!$A$1:$O$88,15,0))</f>
        <v>213.27</v>
      </c>
      <c r="Y185" s="4"/>
      <c r="Z185" s="4">
        <f ca="1">('TUSD BE'!$AM$33+'TUSD BF'!$AM$33+'TUSD CVA'!$AM$33)*(1-CUSTOS!$M$38)</f>
        <v>421.14033355107131</v>
      </c>
      <c r="AA185" s="4">
        <f>('TE BE'!$AB$23+'TE BF'!$AB$23+'TE CVA'!$AB$23)*(1-CUSTOS!$M$38)</f>
        <v>179.54706321936715</v>
      </c>
      <c r="AB185" s="4">
        <f>$K$185*$V$185</f>
        <v>0</v>
      </c>
      <c r="AC185" s="4">
        <f>$M$185*$W$185</f>
        <v>758.01674000000003</v>
      </c>
      <c r="AD185" s="4">
        <f>$O$185*$X$185</f>
        <v>599.97116400000004</v>
      </c>
      <c r="AE185" s="4">
        <f>$K$185*$Y$185</f>
        <v>0</v>
      </c>
      <c r="AF185" s="4">
        <f ca="1">$M$185*$Z$185</f>
        <v>1184.7519863458738</v>
      </c>
      <c r="AG185" s="4">
        <f>$O$185*$AA$185</f>
        <v>505.1017982487237</v>
      </c>
    </row>
    <row r="186" spans="1:33" ht="11.25" customHeight="1" x14ac:dyDescent="0.3">
      <c r="A186" s="3" t="s">
        <v>28</v>
      </c>
      <c r="B186" s="3" t="s">
        <v>42</v>
      </c>
      <c r="C186" s="3" t="s">
        <v>23</v>
      </c>
      <c r="D186" s="3" t="s">
        <v>43</v>
      </c>
      <c r="E186" s="3" t="s">
        <v>51</v>
      </c>
      <c r="F186" s="3" t="s">
        <v>53</v>
      </c>
      <c r="G186" s="3" t="s">
        <v>25</v>
      </c>
      <c r="H186" s="3" t="s">
        <v>25</v>
      </c>
      <c r="I186" s="6">
        <v>44531</v>
      </c>
      <c r="J186" s="4">
        <v>0</v>
      </c>
      <c r="K186" s="4">
        <v>0</v>
      </c>
      <c r="L186" s="4">
        <v>0.112</v>
      </c>
      <c r="M186" s="4">
        <v>4.48E-2</v>
      </c>
      <c r="N186" s="4">
        <v>0.112</v>
      </c>
      <c r="O186" s="4">
        <v>4.48E-2</v>
      </c>
      <c r="P186" s="4">
        <v>0</v>
      </c>
      <c r="Q186" s="3" t="s">
        <v>26</v>
      </c>
      <c r="R186" s="3">
        <v>0</v>
      </c>
      <c r="S186" s="4">
        <v>0</v>
      </c>
      <c r="T186" s="4">
        <v>31</v>
      </c>
      <c r="U186" s="4">
        <v>69</v>
      </c>
      <c r="V186" s="4">
        <f>IF(ISERROR(VLOOKUP($S$186,'TAR FIN'!$A$1:$O$88,15,0)),0,VLOOKUP($S$186,'TAR FIN'!$A$1:$O$88,15,0))</f>
        <v>0</v>
      </c>
      <c r="W186" s="4">
        <f>IF(ISERROR(VLOOKUP($T$186,'TAR FIN'!$A$1:$O$88,15,0)),0,VLOOKUP($T$186,'TAR FIN'!$A$1:$O$88,15,0))</f>
        <v>269.45</v>
      </c>
      <c r="X186" s="4">
        <f>IF(ISERROR(VLOOKUP($U$186,'TAR FIN'!$A$1:$O$88,15,0)),0,VLOOKUP($U$186,'TAR FIN'!$A$1:$O$88,15,0))</f>
        <v>213.27</v>
      </c>
      <c r="Y186" s="4"/>
      <c r="Z186" s="4">
        <f ca="1">('TUSD BE'!$AM$33+'TUSD BF'!$AM$33+'TUSD CVA'!$AM$33)*(1-CUSTOS!$M$38)</f>
        <v>421.14033355107131</v>
      </c>
      <c r="AA186" s="4">
        <f>('TE BE'!$AB$23+'TE BF'!$AB$23+'TE CVA'!$AB$23)*(1-CUSTOS!$M$38)</f>
        <v>179.54706321936715</v>
      </c>
      <c r="AB186" s="4">
        <f>$K$186*$V$186</f>
        <v>0</v>
      </c>
      <c r="AC186" s="4">
        <f>$M$186*$W$186</f>
        <v>12.071359999999999</v>
      </c>
      <c r="AD186" s="4">
        <f>$O$186*$X$186</f>
        <v>9.5544960000000003</v>
      </c>
      <c r="AE186" s="4">
        <f>$K$186*$Y$186</f>
        <v>0</v>
      </c>
      <c r="AF186" s="4">
        <f ca="1">$M$186*$Z$186</f>
        <v>18.867086943087994</v>
      </c>
      <c r="AG186" s="4">
        <f>$O$186*$AA$186</f>
        <v>8.043708432227648</v>
      </c>
    </row>
    <row r="187" spans="1:33" ht="11.25" customHeight="1" x14ac:dyDescent="0.3">
      <c r="A187" s="3" t="s">
        <v>21</v>
      </c>
      <c r="B187" s="3" t="s">
        <v>42</v>
      </c>
      <c r="C187" s="3" t="s">
        <v>23</v>
      </c>
      <c r="D187" s="3" t="s">
        <v>43</v>
      </c>
      <c r="E187" s="3" t="s">
        <v>51</v>
      </c>
      <c r="F187" s="3" t="s">
        <v>53</v>
      </c>
      <c r="G187" s="3" t="s">
        <v>25</v>
      </c>
      <c r="H187" s="3" t="s">
        <v>25</v>
      </c>
      <c r="I187" s="6">
        <v>44562</v>
      </c>
      <c r="J187" s="4">
        <v>0</v>
      </c>
      <c r="K187" s="4">
        <v>0</v>
      </c>
      <c r="L187" s="4">
        <v>16.582000000000001</v>
      </c>
      <c r="M187" s="4">
        <v>6.6327999999999996</v>
      </c>
      <c r="N187" s="4">
        <v>16.582000000000001</v>
      </c>
      <c r="O187" s="4">
        <v>6.6327999999999996</v>
      </c>
      <c r="P187" s="4">
        <v>0</v>
      </c>
      <c r="Q187" s="3" t="s">
        <v>26</v>
      </c>
      <c r="R187" s="3">
        <v>0</v>
      </c>
      <c r="S187" s="4">
        <v>0</v>
      </c>
      <c r="T187" s="4">
        <v>31</v>
      </c>
      <c r="U187" s="4">
        <v>69</v>
      </c>
      <c r="V187" s="4">
        <f>IF(ISERROR(VLOOKUP($S$187,'TAR FIN'!$A$1:$O$88,15,0)),0,VLOOKUP($S$187,'TAR FIN'!$A$1:$O$88,15,0))</f>
        <v>0</v>
      </c>
      <c r="W187" s="4">
        <f>IF(ISERROR(VLOOKUP($T$187,'TAR FIN'!$A$1:$O$88,15,0)),0,VLOOKUP($T$187,'TAR FIN'!$A$1:$O$88,15,0))</f>
        <v>269.45</v>
      </c>
      <c r="X187" s="4">
        <f>IF(ISERROR(VLOOKUP($U$187,'TAR FIN'!$A$1:$O$88,15,0)),0,VLOOKUP($U$187,'TAR FIN'!$A$1:$O$88,15,0))</f>
        <v>213.27</v>
      </c>
      <c r="Y187" s="4"/>
      <c r="Z187" s="4">
        <f ca="1">('TUSD BE'!$AM$33+'TUSD BF'!$AM$33+'TUSD CVA'!$AM$33)*(1-CUSTOS!$M$38)</f>
        <v>421.14033355107131</v>
      </c>
      <c r="AA187" s="4">
        <f>('TE BE'!$AB$23+'TE BF'!$AB$23+'TE CVA'!$AB$23)*(1-CUSTOS!$M$38)</f>
        <v>179.54706321936715</v>
      </c>
      <c r="AB187" s="4">
        <f>$K$187*$V$187</f>
        <v>0</v>
      </c>
      <c r="AC187" s="4">
        <f>$M$187*$W$187</f>
        <v>1787.2079599999997</v>
      </c>
      <c r="AD187" s="4">
        <f>$O$187*$X$187</f>
        <v>1414.577256</v>
      </c>
      <c r="AE187" s="4">
        <f>$K$187*$Y$187</f>
        <v>0</v>
      </c>
      <c r="AF187" s="4">
        <f ca="1">$M$187*$Z$187</f>
        <v>2793.3396043775456</v>
      </c>
      <c r="AG187" s="4">
        <f>$O$187*$AA$187</f>
        <v>1190.8997609214184</v>
      </c>
    </row>
    <row r="188" spans="1:33" ht="11.25" customHeight="1" x14ac:dyDescent="0.3">
      <c r="A188" s="3" t="s">
        <v>27</v>
      </c>
      <c r="B188" s="3" t="s">
        <v>42</v>
      </c>
      <c r="C188" s="3" t="s">
        <v>23</v>
      </c>
      <c r="D188" s="3" t="s">
        <v>43</v>
      </c>
      <c r="E188" s="3" t="s">
        <v>51</v>
      </c>
      <c r="F188" s="3" t="s">
        <v>53</v>
      </c>
      <c r="G188" s="3" t="s">
        <v>25</v>
      </c>
      <c r="H188" s="3" t="s">
        <v>25</v>
      </c>
      <c r="I188" s="6">
        <v>44562</v>
      </c>
      <c r="J188" s="4">
        <v>0</v>
      </c>
      <c r="K188" s="4">
        <v>0</v>
      </c>
      <c r="L188" s="4">
        <v>-1.125</v>
      </c>
      <c r="M188" s="4">
        <v>-0.45</v>
      </c>
      <c r="N188" s="4">
        <v>-1.125</v>
      </c>
      <c r="O188" s="4">
        <v>-0.45</v>
      </c>
      <c r="P188" s="4">
        <v>0</v>
      </c>
      <c r="Q188" s="3" t="s">
        <v>26</v>
      </c>
      <c r="R188" s="3">
        <v>0</v>
      </c>
      <c r="S188" s="4">
        <v>0</v>
      </c>
      <c r="T188" s="4">
        <v>31</v>
      </c>
      <c r="U188" s="4">
        <v>69</v>
      </c>
      <c r="V188" s="4">
        <f>IF(ISERROR(VLOOKUP($S$188,'TAR FIN'!$A$1:$O$88,15,0)),0,VLOOKUP($S$188,'TAR FIN'!$A$1:$O$88,15,0))</f>
        <v>0</v>
      </c>
      <c r="W188" s="4">
        <f>IF(ISERROR(VLOOKUP($T$188,'TAR FIN'!$A$1:$O$88,15,0)),0,VLOOKUP($T$188,'TAR FIN'!$A$1:$O$88,15,0))</f>
        <v>269.45</v>
      </c>
      <c r="X188" s="4">
        <f>IF(ISERROR(VLOOKUP($U$188,'TAR FIN'!$A$1:$O$88,15,0)),0,VLOOKUP($U$188,'TAR FIN'!$A$1:$O$88,15,0))</f>
        <v>213.27</v>
      </c>
      <c r="Y188" s="4"/>
      <c r="Z188" s="4">
        <f ca="1">('TUSD BE'!$AM$33+'TUSD BF'!$AM$33+'TUSD CVA'!$AM$33)*(1-CUSTOS!$M$38)</f>
        <v>421.14033355107131</v>
      </c>
      <c r="AA188" s="4">
        <f>('TE BE'!$AB$23+'TE BF'!$AB$23+'TE CVA'!$AB$23)*(1-CUSTOS!$M$38)</f>
        <v>179.54706321936715</v>
      </c>
      <c r="AB188" s="4">
        <f>$K$188*$V$188</f>
        <v>0</v>
      </c>
      <c r="AC188" s="4">
        <f>$M$188*$W$188</f>
        <v>-121.2525</v>
      </c>
      <c r="AD188" s="4">
        <f>$O$188*$X$188</f>
        <v>-95.971500000000006</v>
      </c>
      <c r="AE188" s="4">
        <f>$K$188*$Y$188</f>
        <v>0</v>
      </c>
      <c r="AF188" s="4">
        <f ca="1">$M$188*$Z$188</f>
        <v>-189.51315009798211</v>
      </c>
      <c r="AG188" s="4">
        <f>$O$188*$AA$188</f>
        <v>-80.796178448715224</v>
      </c>
    </row>
    <row r="189" spans="1:33" ht="11.25" customHeight="1" x14ac:dyDescent="0.3">
      <c r="A189" s="3" t="s">
        <v>28</v>
      </c>
      <c r="B189" s="3" t="s">
        <v>42</v>
      </c>
      <c r="C189" s="3" t="s">
        <v>23</v>
      </c>
      <c r="D189" s="3" t="s">
        <v>43</v>
      </c>
      <c r="E189" s="3" t="s">
        <v>51</v>
      </c>
      <c r="F189" s="3" t="s">
        <v>53</v>
      </c>
      <c r="G189" s="3" t="s">
        <v>25</v>
      </c>
      <c r="H189" s="3" t="s">
        <v>25</v>
      </c>
      <c r="I189" s="6">
        <v>44562</v>
      </c>
      <c r="J189" s="4">
        <v>0</v>
      </c>
      <c r="K189" s="4">
        <v>0</v>
      </c>
      <c r="L189" s="4">
        <v>0.245</v>
      </c>
      <c r="M189" s="4">
        <v>9.8000000000000004E-2</v>
      </c>
      <c r="N189" s="4">
        <v>0.245</v>
      </c>
      <c r="O189" s="4">
        <v>9.8000000000000004E-2</v>
      </c>
      <c r="P189" s="4">
        <v>0</v>
      </c>
      <c r="Q189" s="3" t="s">
        <v>26</v>
      </c>
      <c r="R189" s="3">
        <v>0</v>
      </c>
      <c r="S189" s="4">
        <v>0</v>
      </c>
      <c r="T189" s="4">
        <v>31</v>
      </c>
      <c r="U189" s="4">
        <v>69</v>
      </c>
      <c r="V189" s="4">
        <f>IF(ISERROR(VLOOKUP($S$189,'TAR FIN'!$A$1:$O$88,15,0)),0,VLOOKUP($S$189,'TAR FIN'!$A$1:$O$88,15,0))</f>
        <v>0</v>
      </c>
      <c r="W189" s="4">
        <f>IF(ISERROR(VLOOKUP($T$189,'TAR FIN'!$A$1:$O$88,15,0)),0,VLOOKUP($T$189,'TAR FIN'!$A$1:$O$88,15,0))</f>
        <v>269.45</v>
      </c>
      <c r="X189" s="4">
        <f>IF(ISERROR(VLOOKUP($U$189,'TAR FIN'!$A$1:$O$88,15,0)),0,VLOOKUP($U$189,'TAR FIN'!$A$1:$O$88,15,0))</f>
        <v>213.27</v>
      </c>
      <c r="Y189" s="4"/>
      <c r="Z189" s="4">
        <f ca="1">('TUSD BE'!$AM$33+'TUSD BF'!$AM$33+'TUSD CVA'!$AM$33)*(1-CUSTOS!$M$38)</f>
        <v>421.14033355107131</v>
      </c>
      <c r="AA189" s="4">
        <f>('TE BE'!$AB$23+'TE BF'!$AB$23+'TE CVA'!$AB$23)*(1-CUSTOS!$M$38)</f>
        <v>179.54706321936715</v>
      </c>
      <c r="AB189" s="4">
        <f>$K$189*$V$189</f>
        <v>0</v>
      </c>
      <c r="AC189" s="4">
        <f>$M$189*$W$189</f>
        <v>26.406099999999999</v>
      </c>
      <c r="AD189" s="4">
        <f>$O$189*$X$189</f>
        <v>20.900460000000002</v>
      </c>
      <c r="AE189" s="4">
        <f>$K$189*$Y$189</f>
        <v>0</v>
      </c>
      <c r="AF189" s="4">
        <f ca="1">$M$189*$Z$189</f>
        <v>41.271752688004987</v>
      </c>
      <c r="AG189" s="4">
        <f>$O$189*$AA$189</f>
        <v>17.595612195497981</v>
      </c>
    </row>
    <row r="190" spans="1:33" ht="11.25" customHeight="1" x14ac:dyDescent="0.3">
      <c r="A190" s="3" t="s">
        <v>21</v>
      </c>
      <c r="B190" s="3" t="s">
        <v>42</v>
      </c>
      <c r="C190" s="3" t="s">
        <v>23</v>
      </c>
      <c r="D190" s="3" t="s">
        <v>43</v>
      </c>
      <c r="E190" s="3" t="s">
        <v>51</v>
      </c>
      <c r="F190" s="3" t="s">
        <v>53</v>
      </c>
      <c r="G190" s="3" t="s">
        <v>25</v>
      </c>
      <c r="H190" s="3" t="s">
        <v>25</v>
      </c>
      <c r="I190" s="6">
        <v>44593</v>
      </c>
      <c r="J190" s="4">
        <v>0</v>
      </c>
      <c r="K190" s="4">
        <v>0</v>
      </c>
      <c r="L190" s="4">
        <v>7.8330000000000002</v>
      </c>
      <c r="M190" s="4">
        <v>3.1332</v>
      </c>
      <c r="N190" s="4">
        <v>7.8330000000000002</v>
      </c>
      <c r="O190" s="4">
        <v>3.1332</v>
      </c>
      <c r="P190" s="4">
        <v>0</v>
      </c>
      <c r="Q190" s="3" t="s">
        <v>26</v>
      </c>
      <c r="R190" s="3">
        <v>0</v>
      </c>
      <c r="S190" s="4">
        <v>0</v>
      </c>
      <c r="T190" s="4">
        <v>31</v>
      </c>
      <c r="U190" s="4">
        <v>69</v>
      </c>
      <c r="V190" s="4">
        <f>IF(ISERROR(VLOOKUP($S$190,'TAR FIN'!$A$1:$O$88,15,0)),0,VLOOKUP($S$190,'TAR FIN'!$A$1:$O$88,15,0))</f>
        <v>0</v>
      </c>
      <c r="W190" s="4">
        <f>IF(ISERROR(VLOOKUP($T$190,'TAR FIN'!$A$1:$O$88,15,0)),0,VLOOKUP($T$190,'TAR FIN'!$A$1:$O$88,15,0))</f>
        <v>269.45</v>
      </c>
      <c r="X190" s="4">
        <f>IF(ISERROR(VLOOKUP($U$190,'TAR FIN'!$A$1:$O$88,15,0)),0,VLOOKUP($U$190,'TAR FIN'!$A$1:$O$88,15,0))</f>
        <v>213.27</v>
      </c>
      <c r="Y190" s="4"/>
      <c r="Z190" s="4">
        <f ca="1">('TUSD BE'!$AM$33+'TUSD BF'!$AM$33+'TUSD CVA'!$AM$33)*(1-CUSTOS!$M$38)</f>
        <v>421.14033355107131</v>
      </c>
      <c r="AA190" s="4">
        <f>('TE BE'!$AB$23+'TE BF'!$AB$23+'TE CVA'!$AB$23)*(1-CUSTOS!$M$38)</f>
        <v>179.54706321936715</v>
      </c>
      <c r="AB190" s="4">
        <f>$K$190*$V$190</f>
        <v>0</v>
      </c>
      <c r="AC190" s="4">
        <f>$M$190*$W$190</f>
        <v>844.24073999999996</v>
      </c>
      <c r="AD190" s="4">
        <f>$O$190*$X$190</f>
        <v>668.21756400000004</v>
      </c>
      <c r="AE190" s="4">
        <f>$K$190*$Y$190</f>
        <v>0</v>
      </c>
      <c r="AF190" s="4">
        <f ca="1">$M$190*$Z$190</f>
        <v>1319.5168930822167</v>
      </c>
      <c r="AG190" s="4">
        <f>$O$190*$AA$190</f>
        <v>562.55685847892119</v>
      </c>
    </row>
    <row r="191" spans="1:33" ht="11.25" customHeight="1" x14ac:dyDescent="0.3">
      <c r="A191" s="3" t="s">
        <v>28</v>
      </c>
      <c r="B191" s="3" t="s">
        <v>42</v>
      </c>
      <c r="C191" s="3" t="s">
        <v>23</v>
      </c>
      <c r="D191" s="3" t="s">
        <v>43</v>
      </c>
      <c r="E191" s="3" t="s">
        <v>51</v>
      </c>
      <c r="F191" s="3" t="s">
        <v>53</v>
      </c>
      <c r="G191" s="3" t="s">
        <v>25</v>
      </c>
      <c r="H191" s="3" t="s">
        <v>25</v>
      </c>
      <c r="I191" s="6">
        <v>44593</v>
      </c>
      <c r="J191" s="4">
        <v>0</v>
      </c>
      <c r="K191" s="4">
        <v>0</v>
      </c>
      <c r="L191" s="4">
        <v>0.152</v>
      </c>
      <c r="M191" s="4">
        <v>6.08E-2</v>
      </c>
      <c r="N191" s="4">
        <v>0.152</v>
      </c>
      <c r="O191" s="4">
        <v>6.08E-2</v>
      </c>
      <c r="P191" s="4">
        <v>0</v>
      </c>
      <c r="Q191" s="3" t="s">
        <v>26</v>
      </c>
      <c r="R191" s="3">
        <v>0</v>
      </c>
      <c r="S191" s="4">
        <v>0</v>
      </c>
      <c r="T191" s="4">
        <v>31</v>
      </c>
      <c r="U191" s="4">
        <v>69</v>
      </c>
      <c r="V191" s="4">
        <f>IF(ISERROR(VLOOKUP($S$191,'TAR FIN'!$A$1:$O$88,15,0)),0,VLOOKUP($S$191,'TAR FIN'!$A$1:$O$88,15,0))</f>
        <v>0</v>
      </c>
      <c r="W191" s="4">
        <f>IF(ISERROR(VLOOKUP($T$191,'TAR FIN'!$A$1:$O$88,15,0)),0,VLOOKUP($T$191,'TAR FIN'!$A$1:$O$88,15,0))</f>
        <v>269.45</v>
      </c>
      <c r="X191" s="4">
        <f>IF(ISERROR(VLOOKUP($U$191,'TAR FIN'!$A$1:$O$88,15,0)),0,VLOOKUP($U$191,'TAR FIN'!$A$1:$O$88,15,0))</f>
        <v>213.27</v>
      </c>
      <c r="Y191" s="4"/>
      <c r="Z191" s="4">
        <f ca="1">('TUSD BE'!$AM$33+'TUSD BF'!$AM$33+'TUSD CVA'!$AM$33)*(1-CUSTOS!$M$38)</f>
        <v>421.14033355107131</v>
      </c>
      <c r="AA191" s="4">
        <f>('TE BE'!$AB$23+'TE BF'!$AB$23+'TE CVA'!$AB$23)*(1-CUSTOS!$M$38)</f>
        <v>179.54706321936715</v>
      </c>
      <c r="AB191" s="4">
        <f>$K$191*$V$191</f>
        <v>0</v>
      </c>
      <c r="AC191" s="4">
        <f>$M$191*$W$191</f>
        <v>16.382559999999998</v>
      </c>
      <c r="AD191" s="4">
        <f>$O$191*$X$191</f>
        <v>12.966816000000001</v>
      </c>
      <c r="AE191" s="4">
        <f>$K$191*$Y$191</f>
        <v>0</v>
      </c>
      <c r="AF191" s="4">
        <f ca="1">$M$191*$Z$191</f>
        <v>25.605332279905134</v>
      </c>
      <c r="AG191" s="4">
        <f>$O$191*$AA$191</f>
        <v>10.916461443737523</v>
      </c>
    </row>
    <row r="192" spans="1:33" ht="11.25" customHeight="1" x14ac:dyDescent="0.3">
      <c r="A192" s="3" t="s">
        <v>21</v>
      </c>
      <c r="B192" s="3" t="s">
        <v>42</v>
      </c>
      <c r="C192" s="3" t="s">
        <v>23</v>
      </c>
      <c r="D192" s="3" t="s">
        <v>43</v>
      </c>
      <c r="E192" s="3" t="s">
        <v>51</v>
      </c>
      <c r="F192" s="3" t="s">
        <v>53</v>
      </c>
      <c r="G192" s="3" t="s">
        <v>25</v>
      </c>
      <c r="H192" s="3" t="s">
        <v>25</v>
      </c>
      <c r="I192" s="6">
        <v>44621</v>
      </c>
      <c r="J192" s="4">
        <v>0</v>
      </c>
      <c r="K192" s="4">
        <v>0</v>
      </c>
      <c r="L192" s="4">
        <v>0.79600000000000004</v>
      </c>
      <c r="M192" s="4">
        <v>0.31840000000000002</v>
      </c>
      <c r="N192" s="4">
        <v>0.79600000000000004</v>
      </c>
      <c r="O192" s="4">
        <v>0.31840000000000002</v>
      </c>
      <c r="P192" s="4">
        <v>0</v>
      </c>
      <c r="Q192" s="3" t="s">
        <v>26</v>
      </c>
      <c r="R192" s="3">
        <v>0</v>
      </c>
      <c r="S192" s="4">
        <v>0</v>
      </c>
      <c r="T192" s="4">
        <v>31</v>
      </c>
      <c r="U192" s="4">
        <v>69</v>
      </c>
      <c r="V192" s="4">
        <f>IF(ISERROR(VLOOKUP($S$192,'TAR FIN'!$A$1:$O$88,15,0)),0,VLOOKUP($S$192,'TAR FIN'!$A$1:$O$88,15,0))</f>
        <v>0</v>
      </c>
      <c r="W192" s="4">
        <f>IF(ISERROR(VLOOKUP($T$192,'TAR FIN'!$A$1:$O$88,15,0)),0,VLOOKUP($T$192,'TAR FIN'!$A$1:$O$88,15,0))</f>
        <v>269.45</v>
      </c>
      <c r="X192" s="4">
        <f>IF(ISERROR(VLOOKUP($U$192,'TAR FIN'!$A$1:$O$88,15,0)),0,VLOOKUP($U$192,'TAR FIN'!$A$1:$O$88,15,0))</f>
        <v>213.27</v>
      </c>
      <c r="Y192" s="4"/>
      <c r="Z192" s="4">
        <f ca="1">('TUSD BE'!$AM$33+'TUSD BF'!$AM$33+'TUSD CVA'!$AM$33)*(1-CUSTOS!$M$38)</f>
        <v>421.14033355107131</v>
      </c>
      <c r="AA192" s="4">
        <f>('TE BE'!$AB$23+'TE BF'!$AB$23+'TE CVA'!$AB$23)*(1-CUSTOS!$M$38)</f>
        <v>179.54706321936715</v>
      </c>
      <c r="AB192" s="4">
        <f>$K$192*$V$192</f>
        <v>0</v>
      </c>
      <c r="AC192" s="4">
        <f>$M$192*$W$192</f>
        <v>85.792879999999997</v>
      </c>
      <c r="AD192" s="4">
        <f>$O$192*$X$192</f>
        <v>67.905168000000003</v>
      </c>
      <c r="AE192" s="4">
        <f>$K$192*$Y$192</f>
        <v>0</v>
      </c>
      <c r="AF192" s="4">
        <f ca="1">$M$192*$Z$192</f>
        <v>134.09108220266111</v>
      </c>
      <c r="AG192" s="4">
        <f>$O$192*$AA$192</f>
        <v>57.167784929046505</v>
      </c>
    </row>
    <row r="193" spans="1:33" ht="11.25" customHeight="1" x14ac:dyDescent="0.3">
      <c r="A193" s="3" t="s">
        <v>21</v>
      </c>
      <c r="B193" s="3" t="s">
        <v>42</v>
      </c>
      <c r="C193" s="3" t="s">
        <v>23</v>
      </c>
      <c r="D193" s="3" t="s">
        <v>43</v>
      </c>
      <c r="E193" s="3" t="s">
        <v>51</v>
      </c>
      <c r="F193" s="3" t="s">
        <v>53</v>
      </c>
      <c r="G193" s="3" t="s">
        <v>25</v>
      </c>
      <c r="H193" s="3" t="s">
        <v>25</v>
      </c>
      <c r="I193" s="6">
        <v>44652</v>
      </c>
      <c r="J193" s="4">
        <v>0</v>
      </c>
      <c r="K193" s="4">
        <v>0</v>
      </c>
      <c r="L193" s="4">
        <v>0.65500000000000003</v>
      </c>
      <c r="M193" s="4">
        <v>0.26200000000000001</v>
      </c>
      <c r="N193" s="4">
        <v>0.65500000000000003</v>
      </c>
      <c r="O193" s="4">
        <v>0.26200000000000001</v>
      </c>
      <c r="P193" s="4">
        <v>0</v>
      </c>
      <c r="Q193" s="3" t="s">
        <v>26</v>
      </c>
      <c r="R193" s="3">
        <v>0</v>
      </c>
      <c r="S193" s="4">
        <v>0</v>
      </c>
      <c r="T193" s="4">
        <v>31</v>
      </c>
      <c r="U193" s="4">
        <v>69</v>
      </c>
      <c r="V193" s="4">
        <f>IF(ISERROR(VLOOKUP($S$193,'TAR FIN'!$A$1:$O$88,15,0)),0,VLOOKUP($S$193,'TAR FIN'!$A$1:$O$88,15,0))</f>
        <v>0</v>
      </c>
      <c r="W193" s="4">
        <f>IF(ISERROR(VLOOKUP($T$193,'TAR FIN'!$A$1:$O$88,15,0)),0,VLOOKUP($T$193,'TAR FIN'!$A$1:$O$88,15,0))</f>
        <v>269.45</v>
      </c>
      <c r="X193" s="4">
        <f>IF(ISERROR(VLOOKUP($U$193,'TAR FIN'!$A$1:$O$88,15,0)),0,VLOOKUP($U$193,'TAR FIN'!$A$1:$O$88,15,0))</f>
        <v>213.27</v>
      </c>
      <c r="Y193" s="4"/>
      <c r="Z193" s="4">
        <f ca="1">('TUSD BE'!$AM$33+'TUSD BF'!$AM$33+'TUSD CVA'!$AM$33)*(1-CUSTOS!$M$38)</f>
        <v>421.14033355107131</v>
      </c>
      <c r="AA193" s="4">
        <f>('TE BE'!$AB$23+'TE BF'!$AB$23+'TE CVA'!$AB$23)*(1-CUSTOS!$M$38)</f>
        <v>179.54706321936715</v>
      </c>
      <c r="AB193" s="4">
        <f>$K$193*$V$193</f>
        <v>0</v>
      </c>
      <c r="AC193" s="4">
        <f>$M$193*$W$193</f>
        <v>70.5959</v>
      </c>
      <c r="AD193" s="4">
        <f>$O$193*$X$193</f>
        <v>55.876740000000005</v>
      </c>
      <c r="AE193" s="4">
        <f>$K$193*$Y$193</f>
        <v>0</v>
      </c>
      <c r="AF193" s="4">
        <f ca="1">$M$193*$Z$193</f>
        <v>110.33876739038068</v>
      </c>
      <c r="AG193" s="4">
        <f>$O$193*$AA$193</f>
        <v>47.041330563474197</v>
      </c>
    </row>
    <row r="194" spans="1:33" ht="11.25" customHeight="1" x14ac:dyDescent="0.3">
      <c r="A194" s="3" t="s">
        <v>21</v>
      </c>
      <c r="B194" s="3" t="s">
        <v>42</v>
      </c>
      <c r="C194" s="3" t="s">
        <v>23</v>
      </c>
      <c r="D194" s="3" t="s">
        <v>43</v>
      </c>
      <c r="E194" s="3" t="s">
        <v>51</v>
      </c>
      <c r="F194" s="3" t="s">
        <v>53</v>
      </c>
      <c r="G194" s="3" t="s">
        <v>25</v>
      </c>
      <c r="H194" s="3" t="s">
        <v>25</v>
      </c>
      <c r="I194" s="6">
        <v>44682</v>
      </c>
      <c r="J194" s="4">
        <v>0</v>
      </c>
      <c r="K194" s="4">
        <v>0</v>
      </c>
      <c r="L194" s="4">
        <v>0.50800000000000001</v>
      </c>
      <c r="M194" s="4">
        <v>0.20319999999999999</v>
      </c>
      <c r="N194" s="4">
        <v>0.50800000000000001</v>
      </c>
      <c r="O194" s="4">
        <v>0.20319999999999999</v>
      </c>
      <c r="P194" s="4">
        <v>0</v>
      </c>
      <c r="Q194" s="3" t="s">
        <v>26</v>
      </c>
      <c r="R194" s="3">
        <v>0</v>
      </c>
      <c r="S194" s="4">
        <v>0</v>
      </c>
      <c r="T194" s="4">
        <v>31</v>
      </c>
      <c r="U194" s="4">
        <v>69</v>
      </c>
      <c r="V194" s="4">
        <f>IF(ISERROR(VLOOKUP($S$194,'TAR FIN'!$A$1:$O$88,15,0)),0,VLOOKUP($S$194,'TAR FIN'!$A$1:$O$88,15,0))</f>
        <v>0</v>
      </c>
      <c r="W194" s="4">
        <f>IF(ISERROR(VLOOKUP($T$194,'TAR FIN'!$A$1:$O$88,15,0)),0,VLOOKUP($T$194,'TAR FIN'!$A$1:$O$88,15,0))</f>
        <v>269.45</v>
      </c>
      <c r="X194" s="4">
        <f>IF(ISERROR(VLOOKUP($U$194,'TAR FIN'!$A$1:$O$88,15,0)),0,VLOOKUP($U$194,'TAR FIN'!$A$1:$O$88,15,0))</f>
        <v>213.27</v>
      </c>
      <c r="Y194" s="4"/>
      <c r="Z194" s="4">
        <f ca="1">('TUSD BE'!$AM$33+'TUSD BF'!$AM$33+'TUSD CVA'!$AM$33)*(1-CUSTOS!$M$38)</f>
        <v>421.14033355107131</v>
      </c>
      <c r="AA194" s="4">
        <f>('TE BE'!$AB$23+'TE BF'!$AB$23+'TE CVA'!$AB$23)*(1-CUSTOS!$M$38)</f>
        <v>179.54706321936715</v>
      </c>
      <c r="AB194" s="4">
        <f>$K$194*$V$194</f>
        <v>0</v>
      </c>
      <c r="AC194" s="4">
        <f>$M$194*$W$194</f>
        <v>54.752239999999993</v>
      </c>
      <c r="AD194" s="4">
        <f>$O$194*$X$194</f>
        <v>43.336463999999999</v>
      </c>
      <c r="AE194" s="4">
        <f>$K$194*$Y$194</f>
        <v>0</v>
      </c>
      <c r="AF194" s="4">
        <f ca="1">$M$194*$Z$194</f>
        <v>85.575715777577685</v>
      </c>
      <c r="AG194" s="4">
        <f>$O$194*$AA$194</f>
        <v>36.483963246175399</v>
      </c>
    </row>
    <row r="195" spans="1:33" ht="11.25" customHeight="1" x14ac:dyDescent="0.3">
      <c r="A195" s="3" t="s">
        <v>27</v>
      </c>
      <c r="B195" s="3" t="s">
        <v>42</v>
      </c>
      <c r="C195" s="3" t="s">
        <v>23</v>
      </c>
      <c r="D195" s="3" t="s">
        <v>43</v>
      </c>
      <c r="E195" s="3" t="s">
        <v>51</v>
      </c>
      <c r="F195" s="3" t="s">
        <v>53</v>
      </c>
      <c r="G195" s="3" t="s">
        <v>25</v>
      </c>
      <c r="H195" s="3" t="s">
        <v>25</v>
      </c>
      <c r="I195" s="6">
        <v>44682</v>
      </c>
      <c r="J195" s="4">
        <v>0</v>
      </c>
      <c r="K195" s="4">
        <v>0</v>
      </c>
      <c r="L195" s="4">
        <v>2.8000000000000001E-2</v>
      </c>
      <c r="M195" s="4">
        <v>1.12E-2</v>
      </c>
      <c r="N195" s="4">
        <v>2.8000000000000001E-2</v>
      </c>
      <c r="O195" s="4">
        <v>1.12E-2</v>
      </c>
      <c r="P195" s="4">
        <v>0</v>
      </c>
      <c r="Q195" s="3" t="s">
        <v>26</v>
      </c>
      <c r="R195" s="3">
        <v>0</v>
      </c>
      <c r="S195" s="4">
        <v>0</v>
      </c>
      <c r="T195" s="4">
        <v>31</v>
      </c>
      <c r="U195" s="4">
        <v>69</v>
      </c>
      <c r="V195" s="4">
        <f>IF(ISERROR(VLOOKUP($S$195,'TAR FIN'!$A$1:$O$88,15,0)),0,VLOOKUP($S$195,'TAR FIN'!$A$1:$O$88,15,0))</f>
        <v>0</v>
      </c>
      <c r="W195" s="4">
        <f>IF(ISERROR(VLOOKUP($T$195,'TAR FIN'!$A$1:$O$88,15,0)),0,VLOOKUP($T$195,'TAR FIN'!$A$1:$O$88,15,0))</f>
        <v>269.45</v>
      </c>
      <c r="X195" s="4">
        <f>IF(ISERROR(VLOOKUP($U$195,'TAR FIN'!$A$1:$O$88,15,0)),0,VLOOKUP($U$195,'TAR FIN'!$A$1:$O$88,15,0))</f>
        <v>213.27</v>
      </c>
      <c r="Y195" s="4"/>
      <c r="Z195" s="4">
        <f ca="1">('TUSD BE'!$AM$33+'TUSD BF'!$AM$33+'TUSD CVA'!$AM$33)*(1-CUSTOS!$M$38)</f>
        <v>421.14033355107131</v>
      </c>
      <c r="AA195" s="4">
        <f>('TE BE'!$AB$23+'TE BF'!$AB$23+'TE CVA'!$AB$23)*(1-CUSTOS!$M$38)</f>
        <v>179.54706321936715</v>
      </c>
      <c r="AB195" s="4">
        <f>$K$195*$V$195</f>
        <v>0</v>
      </c>
      <c r="AC195" s="4">
        <f>$M$195*$W$195</f>
        <v>3.0178399999999996</v>
      </c>
      <c r="AD195" s="4">
        <f>$O$195*$X$195</f>
        <v>2.3886240000000001</v>
      </c>
      <c r="AE195" s="4">
        <f>$K$195*$Y$195</f>
        <v>0</v>
      </c>
      <c r="AF195" s="4">
        <f ca="1">$M$195*$Z$195</f>
        <v>4.7167717357719985</v>
      </c>
      <c r="AG195" s="4">
        <f>$O$195*$AA$195</f>
        <v>2.010927108056912</v>
      </c>
    </row>
    <row r="196" spans="1:33" ht="11.25" customHeight="1" x14ac:dyDescent="0.3">
      <c r="A196" s="3" t="s">
        <v>21</v>
      </c>
      <c r="B196" s="3" t="s">
        <v>42</v>
      </c>
      <c r="C196" s="3" t="s">
        <v>23</v>
      </c>
      <c r="D196" s="3" t="s">
        <v>43</v>
      </c>
      <c r="E196" s="3" t="s">
        <v>51</v>
      </c>
      <c r="F196" s="3" t="s">
        <v>53</v>
      </c>
      <c r="G196" s="3" t="s">
        <v>25</v>
      </c>
      <c r="H196" s="3" t="s">
        <v>25</v>
      </c>
      <c r="I196" s="6">
        <v>44713</v>
      </c>
      <c r="J196" s="4">
        <v>0</v>
      </c>
      <c r="K196" s="4">
        <v>0</v>
      </c>
      <c r="L196" s="4">
        <v>1.663</v>
      </c>
      <c r="M196" s="4">
        <v>0.66520000000000001</v>
      </c>
      <c r="N196" s="4">
        <v>1.663</v>
      </c>
      <c r="O196" s="4">
        <v>0.66520000000000001</v>
      </c>
      <c r="P196" s="4">
        <v>0</v>
      </c>
      <c r="Q196" s="3" t="s">
        <v>26</v>
      </c>
      <c r="R196" s="3">
        <v>0</v>
      </c>
      <c r="S196" s="4">
        <v>0</v>
      </c>
      <c r="T196" s="4">
        <v>31</v>
      </c>
      <c r="U196" s="4">
        <v>69</v>
      </c>
      <c r="V196" s="4">
        <f>IF(ISERROR(VLOOKUP($S$196,'TAR FIN'!$A$1:$O$88,15,0)),0,VLOOKUP($S$196,'TAR FIN'!$A$1:$O$88,15,0))</f>
        <v>0</v>
      </c>
      <c r="W196" s="4">
        <f>IF(ISERROR(VLOOKUP($T$196,'TAR FIN'!$A$1:$O$88,15,0)),0,VLOOKUP($T$196,'TAR FIN'!$A$1:$O$88,15,0))</f>
        <v>269.45</v>
      </c>
      <c r="X196" s="4">
        <f>IF(ISERROR(VLOOKUP($U$196,'TAR FIN'!$A$1:$O$88,15,0)),0,VLOOKUP($U$196,'TAR FIN'!$A$1:$O$88,15,0))</f>
        <v>213.27</v>
      </c>
      <c r="Y196" s="4"/>
      <c r="Z196" s="4">
        <f ca="1">('TUSD BE'!$AM$33+'TUSD BF'!$AM$33+'TUSD CVA'!$AM$33)*(1-CUSTOS!$M$38)</f>
        <v>421.14033355107131</v>
      </c>
      <c r="AA196" s="4">
        <f>('TE BE'!$AB$23+'TE BF'!$AB$23+'TE CVA'!$AB$23)*(1-CUSTOS!$M$38)</f>
        <v>179.54706321936715</v>
      </c>
      <c r="AB196" s="4">
        <f>$K$196*$V$196</f>
        <v>0</v>
      </c>
      <c r="AC196" s="4">
        <f>$M$196*$W$196</f>
        <v>179.23813999999999</v>
      </c>
      <c r="AD196" s="4">
        <f>$O$196*$X$196</f>
        <v>141.86720400000002</v>
      </c>
      <c r="AE196" s="4">
        <f>$K$196*$Y$196</f>
        <v>0</v>
      </c>
      <c r="AF196" s="4">
        <f ca="1">$M$196*$Z$196</f>
        <v>280.14254987817264</v>
      </c>
      <c r="AG196" s="4">
        <f>$O$196*$AA$196</f>
        <v>119.43470645352303</v>
      </c>
    </row>
    <row r="197" spans="1:33" ht="11.25" customHeight="1" x14ac:dyDescent="0.3">
      <c r="A197" s="3" t="s">
        <v>21</v>
      </c>
      <c r="B197" s="3" t="s">
        <v>42</v>
      </c>
      <c r="C197" s="3" t="s">
        <v>23</v>
      </c>
      <c r="D197" s="3" t="s">
        <v>43</v>
      </c>
      <c r="E197" s="3" t="s">
        <v>51</v>
      </c>
      <c r="F197" s="3" t="s">
        <v>53</v>
      </c>
      <c r="G197" s="3" t="s">
        <v>25</v>
      </c>
      <c r="H197" s="3" t="s">
        <v>25</v>
      </c>
      <c r="I197" s="6">
        <v>44743</v>
      </c>
      <c r="J197" s="4">
        <v>0</v>
      </c>
      <c r="K197" s="4">
        <v>0</v>
      </c>
      <c r="L197" s="4">
        <v>0.98399999999999999</v>
      </c>
      <c r="M197" s="4">
        <v>0.39360000000000001</v>
      </c>
      <c r="N197" s="4">
        <v>0.98399999999999999</v>
      </c>
      <c r="O197" s="4">
        <v>0.39360000000000001</v>
      </c>
      <c r="P197" s="4">
        <v>0</v>
      </c>
      <c r="Q197" s="3" t="s">
        <v>26</v>
      </c>
      <c r="R197" s="3">
        <v>0</v>
      </c>
      <c r="S197" s="4">
        <v>0</v>
      </c>
      <c r="T197" s="4">
        <v>31</v>
      </c>
      <c r="U197" s="4">
        <v>69</v>
      </c>
      <c r="V197" s="4">
        <f>IF(ISERROR(VLOOKUP($S$197,'TAR FIN'!$A$1:$O$88,15,0)),0,VLOOKUP($S$197,'TAR FIN'!$A$1:$O$88,15,0))</f>
        <v>0</v>
      </c>
      <c r="W197" s="4">
        <f>IF(ISERROR(VLOOKUP($T$197,'TAR FIN'!$A$1:$O$88,15,0)),0,VLOOKUP($T$197,'TAR FIN'!$A$1:$O$88,15,0))</f>
        <v>269.45</v>
      </c>
      <c r="X197" s="4">
        <f>IF(ISERROR(VLOOKUP($U$197,'TAR FIN'!$A$1:$O$88,15,0)),0,VLOOKUP($U$197,'TAR FIN'!$A$1:$O$88,15,0))</f>
        <v>213.27</v>
      </c>
      <c r="Y197" s="4"/>
      <c r="Z197" s="4">
        <f ca="1">('TUSD BE'!$AM$33+'TUSD BF'!$AM$33+'TUSD CVA'!$AM$33)*(1-CUSTOS!$M$38)</f>
        <v>421.14033355107131</v>
      </c>
      <c r="AA197" s="4">
        <f>('TE BE'!$AB$23+'TE BF'!$AB$23+'TE CVA'!$AB$23)*(1-CUSTOS!$M$38)</f>
        <v>179.54706321936715</v>
      </c>
      <c r="AB197" s="4">
        <f>$K$197*$V$197</f>
        <v>0</v>
      </c>
      <c r="AC197" s="4">
        <f>$M$197*$W$197</f>
        <v>106.05552</v>
      </c>
      <c r="AD197" s="4">
        <f>$O$197*$X$197</f>
        <v>83.943072000000001</v>
      </c>
      <c r="AE197" s="4">
        <f>$K$197*$Y$197</f>
        <v>0</v>
      </c>
      <c r="AF197" s="4">
        <f ca="1">$M$197*$Z$197</f>
        <v>165.76083528570166</v>
      </c>
      <c r="AG197" s="4">
        <f>$O$197*$AA$197</f>
        <v>70.66972408314291</v>
      </c>
    </row>
    <row r="198" spans="1:33" ht="11.25" customHeight="1" x14ac:dyDescent="0.3">
      <c r="A198" s="3" t="s">
        <v>55</v>
      </c>
      <c r="B198" s="3" t="s">
        <v>42</v>
      </c>
      <c r="C198" s="3" t="s">
        <v>23</v>
      </c>
      <c r="D198" s="3" t="s">
        <v>43</v>
      </c>
      <c r="E198" s="3" t="s">
        <v>51</v>
      </c>
      <c r="F198" s="3" t="s">
        <v>53</v>
      </c>
      <c r="G198" s="3" t="s">
        <v>25</v>
      </c>
      <c r="H198" s="3" t="s">
        <v>25</v>
      </c>
      <c r="I198" s="6">
        <v>44774</v>
      </c>
      <c r="J198" s="4">
        <v>0</v>
      </c>
      <c r="K198" s="4">
        <v>0</v>
      </c>
      <c r="L198" s="4">
        <v>0.98399999999999999</v>
      </c>
      <c r="M198" s="4">
        <v>0.39360000000000001</v>
      </c>
      <c r="N198" s="4">
        <v>0.98399999999999999</v>
      </c>
      <c r="O198" s="4">
        <v>0.39360000000000001</v>
      </c>
      <c r="P198" s="4">
        <v>0</v>
      </c>
      <c r="Q198" s="3" t="s">
        <v>26</v>
      </c>
      <c r="R198" s="3">
        <v>0</v>
      </c>
      <c r="S198" s="4">
        <v>0</v>
      </c>
      <c r="T198" s="4">
        <v>31</v>
      </c>
      <c r="U198" s="4">
        <v>69</v>
      </c>
      <c r="V198" s="4">
        <f>IF(ISERROR(VLOOKUP($S$198,'TAR FIN'!$A$1:$O$88,15,0)),0,VLOOKUP($S$198,'TAR FIN'!$A$1:$O$88,15,0))</f>
        <v>0</v>
      </c>
      <c r="W198" s="4">
        <f>IF(ISERROR(VLOOKUP($T$198,'TAR FIN'!$A$1:$O$88,15,0)),0,VLOOKUP($T$198,'TAR FIN'!$A$1:$O$88,15,0))</f>
        <v>269.45</v>
      </c>
      <c r="X198" s="4">
        <f>IF(ISERROR(VLOOKUP($U$198,'TAR FIN'!$A$1:$O$88,15,0)),0,VLOOKUP($U$198,'TAR FIN'!$A$1:$O$88,15,0))</f>
        <v>213.27</v>
      </c>
      <c r="Y198" s="4"/>
      <c r="Z198" s="4">
        <f ca="1">('TUSD BE'!$AM$33+'TUSD BF'!$AM$33+'TUSD CVA'!$AM$33)*(1-CUSTOS!$M$38)</f>
        <v>421.14033355107131</v>
      </c>
      <c r="AA198" s="4">
        <f>('TE BE'!$AB$23+'TE BF'!$AB$23+'TE CVA'!$AB$23)*(1-CUSTOS!$M$38)</f>
        <v>179.54706321936715</v>
      </c>
      <c r="AB198" s="4">
        <f>$K$198*$V$198</f>
        <v>0</v>
      </c>
      <c r="AC198" s="4">
        <f>$M$198*$W$198</f>
        <v>106.05552</v>
      </c>
      <c r="AD198" s="4">
        <f>$O$198*$X$198</f>
        <v>83.943072000000001</v>
      </c>
      <c r="AE198" s="4">
        <f>$K$198*$Y$198</f>
        <v>0</v>
      </c>
      <c r="AF198" s="4">
        <f ca="1">$M$198*$Z$198</f>
        <v>165.76083528570166</v>
      </c>
      <c r="AG198" s="4">
        <f>$O$198*$AA$198</f>
        <v>70.66972408314291</v>
      </c>
    </row>
    <row r="199" spans="1:33" ht="11.25" customHeight="1" x14ac:dyDescent="0.3">
      <c r="A199" s="3" t="s">
        <v>21</v>
      </c>
      <c r="B199" s="3" t="s">
        <v>42</v>
      </c>
      <c r="C199" s="3" t="s">
        <v>23</v>
      </c>
      <c r="D199" s="3" t="s">
        <v>43</v>
      </c>
      <c r="E199" s="3" t="s">
        <v>54</v>
      </c>
      <c r="F199" s="3" t="s">
        <v>52</v>
      </c>
      <c r="G199" s="3" t="s">
        <v>25</v>
      </c>
      <c r="H199" s="3" t="s">
        <v>25</v>
      </c>
      <c r="I199" s="6">
        <v>44440</v>
      </c>
      <c r="J199" s="4">
        <v>0</v>
      </c>
      <c r="K199" s="4">
        <v>0</v>
      </c>
      <c r="L199" s="4">
        <v>0.24399999999999999</v>
      </c>
      <c r="M199" s="4">
        <v>0.24399999999999999</v>
      </c>
      <c r="N199" s="4">
        <v>0.24399999999999999</v>
      </c>
      <c r="O199" s="4">
        <v>0.24399999999999999</v>
      </c>
      <c r="P199" s="4">
        <v>0</v>
      </c>
      <c r="Q199" s="3" t="s">
        <v>26</v>
      </c>
      <c r="R199" s="3">
        <v>0</v>
      </c>
      <c r="S199" s="4">
        <v>0</v>
      </c>
      <c r="T199" s="4">
        <v>31</v>
      </c>
      <c r="U199" s="4">
        <v>69</v>
      </c>
      <c r="V199" s="4">
        <f>IF(ISERROR(VLOOKUP($S$199,'TAR FIN'!$A$1:$O$88,15,0)),0,VLOOKUP($S$199,'TAR FIN'!$A$1:$O$88,15,0))</f>
        <v>0</v>
      </c>
      <c r="W199" s="4">
        <f>IF(ISERROR(VLOOKUP($T$199,'TAR FIN'!$A$1:$O$88,15,0)),0,VLOOKUP($T$199,'TAR FIN'!$A$1:$O$88,15,0))</f>
        <v>269.45</v>
      </c>
      <c r="X199" s="4">
        <f>IF(ISERROR(VLOOKUP($U$199,'TAR FIN'!$A$1:$O$88,15,0)),0,VLOOKUP($U$199,'TAR FIN'!$A$1:$O$88,15,0))</f>
        <v>213.27</v>
      </c>
      <c r="Y199" s="4"/>
      <c r="Z199" s="4">
        <f ca="1">('TUSD BE'!$AM$33+'TUSD BF'!$AM$33+'TUSD CVA'!$AM$33)*(1-CUSTOS!$M$38)</f>
        <v>421.14033355107131</v>
      </c>
      <c r="AA199" s="4">
        <f>('TE BE'!$AB$23+'TE BF'!$AB$23+'TE CVA'!$AB$23)*(1-CUSTOS!$M$38)</f>
        <v>179.54706321936715</v>
      </c>
      <c r="AB199" s="4">
        <f>$K$199*$V$199</f>
        <v>0</v>
      </c>
      <c r="AC199" s="4">
        <f>$M$199*$W$199</f>
        <v>65.745800000000003</v>
      </c>
      <c r="AD199" s="4">
        <f>$O$199*$X$199</f>
        <v>52.037880000000001</v>
      </c>
      <c r="AE199" s="4">
        <f>$K$199*$Y$199</f>
        <v>0</v>
      </c>
      <c r="AF199" s="4">
        <f ca="1">$M$199*$Z$199</f>
        <v>102.75824138646139</v>
      </c>
      <c r="AG199" s="4">
        <f>$O$199*$AA$199</f>
        <v>43.809483425525585</v>
      </c>
    </row>
    <row r="200" spans="1:33" ht="11.25" customHeight="1" x14ac:dyDescent="0.3">
      <c r="A200" s="3" t="s">
        <v>21</v>
      </c>
      <c r="B200" s="3" t="s">
        <v>42</v>
      </c>
      <c r="C200" s="3" t="s">
        <v>23</v>
      </c>
      <c r="D200" s="3" t="s">
        <v>43</v>
      </c>
      <c r="E200" s="3" t="s">
        <v>54</v>
      </c>
      <c r="F200" s="3" t="s">
        <v>52</v>
      </c>
      <c r="G200" s="3" t="s">
        <v>25</v>
      </c>
      <c r="H200" s="3" t="s">
        <v>25</v>
      </c>
      <c r="I200" s="6">
        <v>44470</v>
      </c>
      <c r="J200" s="4">
        <v>0</v>
      </c>
      <c r="K200" s="4">
        <v>0</v>
      </c>
      <c r="L200" s="4">
        <v>0.17899999999999999</v>
      </c>
      <c r="M200" s="4">
        <v>0.17899999999999999</v>
      </c>
      <c r="N200" s="4">
        <v>0.17899999999999999</v>
      </c>
      <c r="O200" s="4">
        <v>0.17899999999999999</v>
      </c>
      <c r="P200" s="4">
        <v>0</v>
      </c>
      <c r="Q200" s="3" t="s">
        <v>26</v>
      </c>
      <c r="R200" s="3">
        <v>0</v>
      </c>
      <c r="S200" s="4">
        <v>0</v>
      </c>
      <c r="T200" s="4">
        <v>31</v>
      </c>
      <c r="U200" s="4">
        <v>69</v>
      </c>
      <c r="V200" s="4">
        <f>IF(ISERROR(VLOOKUP($S$200,'TAR FIN'!$A$1:$O$88,15,0)),0,VLOOKUP($S$200,'TAR FIN'!$A$1:$O$88,15,0))</f>
        <v>0</v>
      </c>
      <c r="W200" s="4">
        <f>IF(ISERROR(VLOOKUP($T$200,'TAR FIN'!$A$1:$O$88,15,0)),0,VLOOKUP($T$200,'TAR FIN'!$A$1:$O$88,15,0))</f>
        <v>269.45</v>
      </c>
      <c r="X200" s="4">
        <f>IF(ISERROR(VLOOKUP($U$200,'TAR FIN'!$A$1:$O$88,15,0)),0,VLOOKUP($U$200,'TAR FIN'!$A$1:$O$88,15,0))</f>
        <v>213.27</v>
      </c>
      <c r="Y200" s="4"/>
      <c r="Z200" s="4">
        <f ca="1">('TUSD BE'!$AM$33+'TUSD BF'!$AM$33+'TUSD CVA'!$AM$33)*(1-CUSTOS!$M$38)</f>
        <v>421.14033355107131</v>
      </c>
      <c r="AA200" s="4">
        <f>('TE BE'!$AB$23+'TE BF'!$AB$23+'TE CVA'!$AB$23)*(1-CUSTOS!$M$38)</f>
        <v>179.54706321936715</v>
      </c>
      <c r="AB200" s="4">
        <f>$K$200*$V$200</f>
        <v>0</v>
      </c>
      <c r="AC200" s="4">
        <f>$M$200*$W$200</f>
        <v>48.231549999999999</v>
      </c>
      <c r="AD200" s="4">
        <f>$O$200*$X$200</f>
        <v>38.175330000000002</v>
      </c>
      <c r="AE200" s="4">
        <f>$K$200*$Y$200</f>
        <v>0</v>
      </c>
      <c r="AF200" s="4">
        <f ca="1">$M$200*$Z$200</f>
        <v>75.384119705641766</v>
      </c>
      <c r="AG200" s="4">
        <f>$O$200*$AA$200</f>
        <v>32.138924316266717</v>
      </c>
    </row>
    <row r="201" spans="1:33" ht="11.25" customHeight="1" x14ac:dyDescent="0.3">
      <c r="A201" s="3" t="s">
        <v>21</v>
      </c>
      <c r="B201" s="3" t="s">
        <v>42</v>
      </c>
      <c r="C201" s="3" t="s">
        <v>23</v>
      </c>
      <c r="D201" s="3" t="s">
        <v>43</v>
      </c>
      <c r="E201" s="3" t="s">
        <v>54</v>
      </c>
      <c r="F201" s="3" t="s">
        <v>52</v>
      </c>
      <c r="G201" s="3" t="s">
        <v>25</v>
      </c>
      <c r="H201" s="3" t="s">
        <v>25</v>
      </c>
      <c r="I201" s="6">
        <v>44501</v>
      </c>
      <c r="J201" s="4">
        <v>0</v>
      </c>
      <c r="K201" s="4">
        <v>0</v>
      </c>
      <c r="L201" s="4">
        <v>0.47499999999999998</v>
      </c>
      <c r="M201" s="4">
        <v>0.47499999999999998</v>
      </c>
      <c r="N201" s="4">
        <v>0.47499999999999998</v>
      </c>
      <c r="O201" s="4">
        <v>0.47499999999999998</v>
      </c>
      <c r="P201" s="4">
        <v>0</v>
      </c>
      <c r="Q201" s="3" t="s">
        <v>26</v>
      </c>
      <c r="R201" s="3">
        <v>0</v>
      </c>
      <c r="S201" s="4">
        <v>0</v>
      </c>
      <c r="T201" s="4">
        <v>31</v>
      </c>
      <c r="U201" s="4">
        <v>69</v>
      </c>
      <c r="V201" s="4">
        <f>IF(ISERROR(VLOOKUP($S$201,'TAR FIN'!$A$1:$O$88,15,0)),0,VLOOKUP($S$201,'TAR FIN'!$A$1:$O$88,15,0))</f>
        <v>0</v>
      </c>
      <c r="W201" s="4">
        <f>IF(ISERROR(VLOOKUP($T$201,'TAR FIN'!$A$1:$O$88,15,0)),0,VLOOKUP($T$201,'TAR FIN'!$A$1:$O$88,15,0))</f>
        <v>269.45</v>
      </c>
      <c r="X201" s="4">
        <f>IF(ISERROR(VLOOKUP($U$201,'TAR FIN'!$A$1:$O$88,15,0)),0,VLOOKUP($U$201,'TAR FIN'!$A$1:$O$88,15,0))</f>
        <v>213.27</v>
      </c>
      <c r="Y201" s="4"/>
      <c r="Z201" s="4">
        <f ca="1">('TUSD BE'!$AM$33+'TUSD BF'!$AM$33+'TUSD CVA'!$AM$33)*(1-CUSTOS!$M$38)</f>
        <v>421.14033355107131</v>
      </c>
      <c r="AA201" s="4">
        <f>('TE BE'!$AB$23+'TE BF'!$AB$23+'TE CVA'!$AB$23)*(1-CUSTOS!$M$38)</f>
        <v>179.54706321936715</v>
      </c>
      <c r="AB201" s="4">
        <f>$K$201*$V$201</f>
        <v>0</v>
      </c>
      <c r="AC201" s="4">
        <f>$M$201*$W$201</f>
        <v>127.98874999999998</v>
      </c>
      <c r="AD201" s="4">
        <f>$O$201*$X$201</f>
        <v>101.30325000000001</v>
      </c>
      <c r="AE201" s="4">
        <f>$K$201*$Y$201</f>
        <v>0</v>
      </c>
      <c r="AF201" s="4">
        <f ca="1">$M$201*$Z$201</f>
        <v>200.04165843675887</v>
      </c>
      <c r="AG201" s="4">
        <f>$O$201*$AA$201</f>
        <v>85.284855029199392</v>
      </c>
    </row>
    <row r="202" spans="1:33" ht="11.25" customHeight="1" x14ac:dyDescent="0.3">
      <c r="A202" s="3" t="s">
        <v>21</v>
      </c>
      <c r="B202" s="3" t="s">
        <v>42</v>
      </c>
      <c r="C202" s="3" t="s">
        <v>23</v>
      </c>
      <c r="D202" s="3" t="s">
        <v>43</v>
      </c>
      <c r="E202" s="3" t="s">
        <v>54</v>
      </c>
      <c r="F202" s="3" t="s">
        <v>52</v>
      </c>
      <c r="G202" s="3" t="s">
        <v>25</v>
      </c>
      <c r="H202" s="3" t="s">
        <v>25</v>
      </c>
      <c r="I202" s="6">
        <v>44531</v>
      </c>
      <c r="J202" s="4">
        <v>0</v>
      </c>
      <c r="K202" s="4">
        <v>0</v>
      </c>
      <c r="L202" s="4">
        <v>0.35299999999999998</v>
      </c>
      <c r="M202" s="4">
        <v>0.35299999999999998</v>
      </c>
      <c r="N202" s="4">
        <v>0.35299999999999998</v>
      </c>
      <c r="O202" s="4">
        <v>0.35299999999999998</v>
      </c>
      <c r="P202" s="4">
        <v>0</v>
      </c>
      <c r="Q202" s="3" t="s">
        <v>26</v>
      </c>
      <c r="R202" s="3">
        <v>0</v>
      </c>
      <c r="S202" s="4">
        <v>0</v>
      </c>
      <c r="T202" s="4">
        <v>31</v>
      </c>
      <c r="U202" s="4">
        <v>69</v>
      </c>
      <c r="V202" s="4">
        <f>IF(ISERROR(VLOOKUP($S$202,'TAR FIN'!$A$1:$O$88,15,0)),0,VLOOKUP($S$202,'TAR FIN'!$A$1:$O$88,15,0))</f>
        <v>0</v>
      </c>
      <c r="W202" s="4">
        <f>IF(ISERROR(VLOOKUP($T$202,'TAR FIN'!$A$1:$O$88,15,0)),0,VLOOKUP($T$202,'TAR FIN'!$A$1:$O$88,15,0))</f>
        <v>269.45</v>
      </c>
      <c r="X202" s="4">
        <f>IF(ISERROR(VLOOKUP($U$202,'TAR FIN'!$A$1:$O$88,15,0)),0,VLOOKUP($U$202,'TAR FIN'!$A$1:$O$88,15,0))</f>
        <v>213.27</v>
      </c>
      <c r="Y202" s="4"/>
      <c r="Z202" s="4">
        <f ca="1">('TUSD BE'!$AM$33+'TUSD BF'!$AM$33+'TUSD CVA'!$AM$33)*(1-CUSTOS!$M$38)</f>
        <v>421.14033355107131</v>
      </c>
      <c r="AA202" s="4">
        <f>('TE BE'!$AB$23+'TE BF'!$AB$23+'TE CVA'!$AB$23)*(1-CUSTOS!$M$38)</f>
        <v>179.54706321936715</v>
      </c>
      <c r="AB202" s="4">
        <f>$K$202*$V$202</f>
        <v>0</v>
      </c>
      <c r="AC202" s="4">
        <f>$M$202*$W$202</f>
        <v>95.115849999999995</v>
      </c>
      <c r="AD202" s="4">
        <f>$O$202*$X$202</f>
        <v>75.284310000000005</v>
      </c>
      <c r="AE202" s="4">
        <f>$K$202*$Y$202</f>
        <v>0</v>
      </c>
      <c r="AF202" s="4">
        <f ca="1">$M$202*$Z$202</f>
        <v>148.66253774352816</v>
      </c>
      <c r="AG202" s="4">
        <f>$O$202*$AA$202</f>
        <v>63.380113316436599</v>
      </c>
    </row>
    <row r="203" spans="1:33" ht="11.25" customHeight="1" x14ac:dyDescent="0.3">
      <c r="A203" s="3" t="s">
        <v>21</v>
      </c>
      <c r="B203" s="3" t="s">
        <v>42</v>
      </c>
      <c r="C203" s="3" t="s">
        <v>23</v>
      </c>
      <c r="D203" s="3" t="s">
        <v>43</v>
      </c>
      <c r="E203" s="3" t="s">
        <v>54</v>
      </c>
      <c r="F203" s="3" t="s">
        <v>52</v>
      </c>
      <c r="G203" s="3" t="s">
        <v>25</v>
      </c>
      <c r="H203" s="3" t="s">
        <v>25</v>
      </c>
      <c r="I203" s="6">
        <v>44562</v>
      </c>
      <c r="J203" s="4">
        <v>0</v>
      </c>
      <c r="K203" s="4">
        <v>0</v>
      </c>
      <c r="L203" s="4">
        <v>0.81200000000000006</v>
      </c>
      <c r="M203" s="4">
        <v>0.81200000000000006</v>
      </c>
      <c r="N203" s="4">
        <v>0.81200000000000006</v>
      </c>
      <c r="O203" s="4">
        <v>0.81200000000000006</v>
      </c>
      <c r="P203" s="4">
        <v>0</v>
      </c>
      <c r="Q203" s="3" t="s">
        <v>26</v>
      </c>
      <c r="R203" s="3">
        <v>0</v>
      </c>
      <c r="S203" s="4">
        <v>0</v>
      </c>
      <c r="T203" s="4">
        <v>31</v>
      </c>
      <c r="U203" s="4">
        <v>69</v>
      </c>
      <c r="V203" s="4">
        <f>IF(ISERROR(VLOOKUP($S$203,'TAR FIN'!$A$1:$O$88,15,0)),0,VLOOKUP($S$203,'TAR FIN'!$A$1:$O$88,15,0))</f>
        <v>0</v>
      </c>
      <c r="W203" s="4">
        <f>IF(ISERROR(VLOOKUP($T$203,'TAR FIN'!$A$1:$O$88,15,0)),0,VLOOKUP($T$203,'TAR FIN'!$A$1:$O$88,15,0))</f>
        <v>269.45</v>
      </c>
      <c r="X203" s="4">
        <f>IF(ISERROR(VLOOKUP($U$203,'TAR FIN'!$A$1:$O$88,15,0)),0,VLOOKUP($U$203,'TAR FIN'!$A$1:$O$88,15,0))</f>
        <v>213.27</v>
      </c>
      <c r="Y203" s="4"/>
      <c r="Z203" s="4">
        <f ca="1">('TUSD BE'!$AM$33+'TUSD BF'!$AM$33+'TUSD CVA'!$AM$33)*(1-CUSTOS!$M$38)</f>
        <v>421.14033355107131</v>
      </c>
      <c r="AA203" s="4">
        <f>('TE BE'!$AB$23+'TE BF'!$AB$23+'TE CVA'!$AB$23)*(1-CUSTOS!$M$38)</f>
        <v>179.54706321936715</v>
      </c>
      <c r="AB203" s="4">
        <f>$K$203*$V$203</f>
        <v>0</v>
      </c>
      <c r="AC203" s="4">
        <f>$M$203*$W$203</f>
        <v>218.79340000000002</v>
      </c>
      <c r="AD203" s="4">
        <f>$O$203*$X$203</f>
        <v>173.17524000000003</v>
      </c>
      <c r="AE203" s="4">
        <f>$K$203*$Y$203</f>
        <v>0</v>
      </c>
      <c r="AF203" s="4">
        <f ca="1">$M$203*$Z$203</f>
        <v>341.9659508434699</v>
      </c>
      <c r="AG203" s="4">
        <f>$O$203*$AA$203</f>
        <v>145.79221533412613</v>
      </c>
    </row>
    <row r="204" spans="1:33" ht="11.25" customHeight="1" x14ac:dyDescent="0.3">
      <c r="A204" s="3" t="s">
        <v>21</v>
      </c>
      <c r="B204" s="3" t="s">
        <v>42</v>
      </c>
      <c r="C204" s="3" t="s">
        <v>23</v>
      </c>
      <c r="D204" s="3" t="s">
        <v>43</v>
      </c>
      <c r="E204" s="3" t="s">
        <v>54</v>
      </c>
      <c r="F204" s="3" t="s">
        <v>52</v>
      </c>
      <c r="G204" s="3" t="s">
        <v>25</v>
      </c>
      <c r="H204" s="3" t="s">
        <v>25</v>
      </c>
      <c r="I204" s="6">
        <v>44593</v>
      </c>
      <c r="J204" s="4">
        <v>0</v>
      </c>
      <c r="K204" s="4">
        <v>0</v>
      </c>
      <c r="L204" s="4">
        <v>0.88600000000000001</v>
      </c>
      <c r="M204" s="4">
        <v>0.88600000000000001</v>
      </c>
      <c r="N204" s="4">
        <v>0.88600000000000001</v>
      </c>
      <c r="O204" s="4">
        <v>0.88600000000000001</v>
      </c>
      <c r="P204" s="4">
        <v>0</v>
      </c>
      <c r="Q204" s="3" t="s">
        <v>26</v>
      </c>
      <c r="R204" s="3">
        <v>0</v>
      </c>
      <c r="S204" s="4">
        <v>0</v>
      </c>
      <c r="T204" s="4">
        <v>31</v>
      </c>
      <c r="U204" s="4">
        <v>69</v>
      </c>
      <c r="V204" s="4">
        <f>IF(ISERROR(VLOOKUP($S$204,'TAR FIN'!$A$1:$O$88,15,0)),0,VLOOKUP($S$204,'TAR FIN'!$A$1:$O$88,15,0))</f>
        <v>0</v>
      </c>
      <c r="W204" s="4">
        <f>IF(ISERROR(VLOOKUP($T$204,'TAR FIN'!$A$1:$O$88,15,0)),0,VLOOKUP($T$204,'TAR FIN'!$A$1:$O$88,15,0))</f>
        <v>269.45</v>
      </c>
      <c r="X204" s="4">
        <f>IF(ISERROR(VLOOKUP($U$204,'TAR FIN'!$A$1:$O$88,15,0)),0,VLOOKUP($U$204,'TAR FIN'!$A$1:$O$88,15,0))</f>
        <v>213.27</v>
      </c>
      <c r="Y204" s="4"/>
      <c r="Z204" s="4">
        <f ca="1">('TUSD BE'!$AM$33+'TUSD BF'!$AM$33+'TUSD CVA'!$AM$33)*(1-CUSTOS!$M$38)</f>
        <v>421.14033355107131</v>
      </c>
      <c r="AA204" s="4">
        <f>('TE BE'!$AB$23+'TE BF'!$AB$23+'TE CVA'!$AB$23)*(1-CUSTOS!$M$38)</f>
        <v>179.54706321936715</v>
      </c>
      <c r="AB204" s="4">
        <f>$K$204*$V$204</f>
        <v>0</v>
      </c>
      <c r="AC204" s="4">
        <f>$M$204*$W$204</f>
        <v>238.73269999999999</v>
      </c>
      <c r="AD204" s="4">
        <f>$O$204*$X$204</f>
        <v>188.95722000000001</v>
      </c>
      <c r="AE204" s="4">
        <f>$K$204*$Y$204</f>
        <v>0</v>
      </c>
      <c r="AF204" s="4">
        <f ca="1">$M$204*$Z$204</f>
        <v>373.13033552624916</v>
      </c>
      <c r="AG204" s="4">
        <f>$O$204*$AA$204</f>
        <v>159.0786980123593</v>
      </c>
    </row>
    <row r="205" spans="1:33" ht="11.25" customHeight="1" x14ac:dyDescent="0.3">
      <c r="A205" s="3" t="s">
        <v>21</v>
      </c>
      <c r="B205" s="3" t="s">
        <v>42</v>
      </c>
      <c r="C205" s="3" t="s">
        <v>23</v>
      </c>
      <c r="D205" s="3" t="s">
        <v>43</v>
      </c>
      <c r="E205" s="3" t="s">
        <v>54</v>
      </c>
      <c r="F205" s="3" t="s">
        <v>52</v>
      </c>
      <c r="G205" s="3" t="s">
        <v>25</v>
      </c>
      <c r="H205" s="3" t="s">
        <v>25</v>
      </c>
      <c r="I205" s="6">
        <v>44621</v>
      </c>
      <c r="J205" s="4">
        <v>0</v>
      </c>
      <c r="K205" s="4">
        <v>0</v>
      </c>
      <c r="L205" s="4">
        <v>1.085</v>
      </c>
      <c r="M205" s="4">
        <v>1.085</v>
      </c>
      <c r="N205" s="4">
        <v>1.085</v>
      </c>
      <c r="O205" s="4">
        <v>1.085</v>
      </c>
      <c r="P205" s="4">
        <v>0</v>
      </c>
      <c r="Q205" s="3" t="s">
        <v>26</v>
      </c>
      <c r="R205" s="3">
        <v>0</v>
      </c>
      <c r="S205" s="4">
        <v>0</v>
      </c>
      <c r="T205" s="4">
        <v>31</v>
      </c>
      <c r="U205" s="4">
        <v>69</v>
      </c>
      <c r="V205" s="4">
        <f>IF(ISERROR(VLOOKUP($S$205,'TAR FIN'!$A$1:$O$88,15,0)),0,VLOOKUP($S$205,'TAR FIN'!$A$1:$O$88,15,0))</f>
        <v>0</v>
      </c>
      <c r="W205" s="4">
        <f>IF(ISERROR(VLOOKUP($T$205,'TAR FIN'!$A$1:$O$88,15,0)),0,VLOOKUP($T$205,'TAR FIN'!$A$1:$O$88,15,0))</f>
        <v>269.45</v>
      </c>
      <c r="X205" s="4">
        <f>IF(ISERROR(VLOOKUP($U$205,'TAR FIN'!$A$1:$O$88,15,0)),0,VLOOKUP($U$205,'TAR FIN'!$A$1:$O$88,15,0))</f>
        <v>213.27</v>
      </c>
      <c r="Y205" s="4"/>
      <c r="Z205" s="4">
        <f ca="1">('TUSD BE'!$AM$33+'TUSD BF'!$AM$33+'TUSD CVA'!$AM$33)*(1-CUSTOS!$M$38)</f>
        <v>421.14033355107131</v>
      </c>
      <c r="AA205" s="4">
        <f>('TE BE'!$AB$23+'TE BF'!$AB$23+'TE CVA'!$AB$23)*(1-CUSTOS!$M$38)</f>
        <v>179.54706321936715</v>
      </c>
      <c r="AB205" s="4">
        <f>$K$205*$V$205</f>
        <v>0</v>
      </c>
      <c r="AC205" s="4">
        <f>$M$205*$W$205</f>
        <v>292.35325</v>
      </c>
      <c r="AD205" s="4">
        <f>$O$205*$X$205</f>
        <v>231.39795000000001</v>
      </c>
      <c r="AE205" s="4">
        <f>$K$205*$Y$205</f>
        <v>0</v>
      </c>
      <c r="AF205" s="4">
        <f ca="1">$M$205*$Z$205</f>
        <v>456.93726190291233</v>
      </c>
      <c r="AG205" s="4">
        <f>$O$205*$AA$205</f>
        <v>194.80856359301336</v>
      </c>
    </row>
    <row r="206" spans="1:33" ht="11.25" customHeight="1" x14ac:dyDescent="0.3">
      <c r="A206" s="3" t="s">
        <v>21</v>
      </c>
      <c r="B206" s="3" t="s">
        <v>42</v>
      </c>
      <c r="C206" s="3" t="s">
        <v>23</v>
      </c>
      <c r="D206" s="3" t="s">
        <v>43</v>
      </c>
      <c r="E206" s="3" t="s">
        <v>54</v>
      </c>
      <c r="F206" s="3" t="s">
        <v>52</v>
      </c>
      <c r="G206" s="3" t="s">
        <v>25</v>
      </c>
      <c r="H206" s="3" t="s">
        <v>25</v>
      </c>
      <c r="I206" s="6">
        <v>44652</v>
      </c>
      <c r="J206" s="4">
        <v>0</v>
      </c>
      <c r="K206" s="4">
        <v>0</v>
      </c>
      <c r="L206" s="4">
        <v>1.05</v>
      </c>
      <c r="M206" s="4">
        <v>1.05</v>
      </c>
      <c r="N206" s="4">
        <v>1.05</v>
      </c>
      <c r="O206" s="4">
        <v>1.05</v>
      </c>
      <c r="P206" s="4">
        <v>0</v>
      </c>
      <c r="Q206" s="3" t="s">
        <v>26</v>
      </c>
      <c r="R206" s="3">
        <v>0</v>
      </c>
      <c r="S206" s="4">
        <v>0</v>
      </c>
      <c r="T206" s="4">
        <v>31</v>
      </c>
      <c r="U206" s="4">
        <v>69</v>
      </c>
      <c r="V206" s="4">
        <f>IF(ISERROR(VLOOKUP($S$206,'TAR FIN'!$A$1:$O$88,15,0)),0,VLOOKUP($S$206,'TAR FIN'!$A$1:$O$88,15,0))</f>
        <v>0</v>
      </c>
      <c r="W206" s="4">
        <f>IF(ISERROR(VLOOKUP($T$206,'TAR FIN'!$A$1:$O$88,15,0)),0,VLOOKUP($T$206,'TAR FIN'!$A$1:$O$88,15,0))</f>
        <v>269.45</v>
      </c>
      <c r="X206" s="4">
        <f>IF(ISERROR(VLOOKUP($U$206,'TAR FIN'!$A$1:$O$88,15,0)),0,VLOOKUP($U$206,'TAR FIN'!$A$1:$O$88,15,0))</f>
        <v>213.27</v>
      </c>
      <c r="Y206" s="4"/>
      <c r="Z206" s="4">
        <f ca="1">('TUSD BE'!$AM$33+'TUSD BF'!$AM$33+'TUSD CVA'!$AM$33)*(1-CUSTOS!$M$38)</f>
        <v>421.14033355107131</v>
      </c>
      <c r="AA206" s="4">
        <f>('TE BE'!$AB$23+'TE BF'!$AB$23+'TE CVA'!$AB$23)*(1-CUSTOS!$M$38)</f>
        <v>179.54706321936715</v>
      </c>
      <c r="AB206" s="4">
        <f>$K$206*$V$206</f>
        <v>0</v>
      </c>
      <c r="AC206" s="4">
        <f>$M$206*$W$206</f>
        <v>282.92250000000001</v>
      </c>
      <c r="AD206" s="4">
        <f>$O$206*$X$206</f>
        <v>223.93350000000001</v>
      </c>
      <c r="AE206" s="4">
        <f>$K$206*$Y$206</f>
        <v>0</v>
      </c>
      <c r="AF206" s="4">
        <f ca="1">$M$206*$Z$206</f>
        <v>442.19735022862488</v>
      </c>
      <c r="AG206" s="4">
        <f>$O$206*$AA$206</f>
        <v>188.52441638033551</v>
      </c>
    </row>
    <row r="207" spans="1:33" ht="11.25" customHeight="1" x14ac:dyDescent="0.3">
      <c r="A207" s="3" t="s">
        <v>21</v>
      </c>
      <c r="B207" s="3" t="s">
        <v>42</v>
      </c>
      <c r="C207" s="3" t="s">
        <v>23</v>
      </c>
      <c r="D207" s="3" t="s">
        <v>43</v>
      </c>
      <c r="E207" s="3" t="s">
        <v>54</v>
      </c>
      <c r="F207" s="3" t="s">
        <v>52</v>
      </c>
      <c r="G207" s="3" t="s">
        <v>25</v>
      </c>
      <c r="H207" s="3" t="s">
        <v>25</v>
      </c>
      <c r="I207" s="6">
        <v>44682</v>
      </c>
      <c r="J207" s="4">
        <v>0</v>
      </c>
      <c r="K207" s="4">
        <v>0</v>
      </c>
      <c r="L207" s="4">
        <v>0.69499999999999995</v>
      </c>
      <c r="M207" s="4">
        <v>0.69499999999999995</v>
      </c>
      <c r="N207" s="4">
        <v>0.69499999999999995</v>
      </c>
      <c r="O207" s="4">
        <v>0.69499999999999995</v>
      </c>
      <c r="P207" s="4">
        <v>0</v>
      </c>
      <c r="Q207" s="3" t="s">
        <v>26</v>
      </c>
      <c r="R207" s="3">
        <v>0</v>
      </c>
      <c r="S207" s="4">
        <v>0</v>
      </c>
      <c r="T207" s="4">
        <v>31</v>
      </c>
      <c r="U207" s="4">
        <v>69</v>
      </c>
      <c r="V207" s="4">
        <f>IF(ISERROR(VLOOKUP($S$207,'TAR FIN'!$A$1:$O$88,15,0)),0,VLOOKUP($S$207,'TAR FIN'!$A$1:$O$88,15,0))</f>
        <v>0</v>
      </c>
      <c r="W207" s="4">
        <f>IF(ISERROR(VLOOKUP($T$207,'TAR FIN'!$A$1:$O$88,15,0)),0,VLOOKUP($T$207,'TAR FIN'!$A$1:$O$88,15,0))</f>
        <v>269.45</v>
      </c>
      <c r="X207" s="4">
        <f>IF(ISERROR(VLOOKUP($U$207,'TAR FIN'!$A$1:$O$88,15,0)),0,VLOOKUP($U$207,'TAR FIN'!$A$1:$O$88,15,0))</f>
        <v>213.27</v>
      </c>
      <c r="Y207" s="4"/>
      <c r="Z207" s="4">
        <f ca="1">('TUSD BE'!$AM$33+'TUSD BF'!$AM$33+'TUSD CVA'!$AM$33)*(1-CUSTOS!$M$38)</f>
        <v>421.14033355107131</v>
      </c>
      <c r="AA207" s="4">
        <f>('TE BE'!$AB$23+'TE BF'!$AB$23+'TE CVA'!$AB$23)*(1-CUSTOS!$M$38)</f>
        <v>179.54706321936715</v>
      </c>
      <c r="AB207" s="4">
        <f>$K$207*$V$207</f>
        <v>0</v>
      </c>
      <c r="AC207" s="4">
        <f>$M$207*$W$207</f>
        <v>187.26774999999998</v>
      </c>
      <c r="AD207" s="4">
        <f>$O$207*$X$207</f>
        <v>148.22264999999999</v>
      </c>
      <c r="AE207" s="4">
        <f>$K$207*$Y$207</f>
        <v>0</v>
      </c>
      <c r="AF207" s="4">
        <f ca="1">$M$207*$Z$207</f>
        <v>292.69253181799456</v>
      </c>
      <c r="AG207" s="4">
        <f>$O$207*$AA$207</f>
        <v>124.78520893746015</v>
      </c>
    </row>
    <row r="208" spans="1:33" ht="11.25" customHeight="1" x14ac:dyDescent="0.3">
      <c r="A208" s="3" t="s">
        <v>21</v>
      </c>
      <c r="B208" s="3" t="s">
        <v>42</v>
      </c>
      <c r="C208" s="3" t="s">
        <v>23</v>
      </c>
      <c r="D208" s="3" t="s">
        <v>43</v>
      </c>
      <c r="E208" s="3" t="s">
        <v>54</v>
      </c>
      <c r="F208" s="3" t="s">
        <v>52</v>
      </c>
      <c r="G208" s="3" t="s">
        <v>25</v>
      </c>
      <c r="H208" s="3" t="s">
        <v>25</v>
      </c>
      <c r="I208" s="6">
        <v>44713</v>
      </c>
      <c r="J208" s="4">
        <v>0</v>
      </c>
      <c r="K208" s="4">
        <v>0</v>
      </c>
      <c r="L208" s="4">
        <v>0.20899999999999999</v>
      </c>
      <c r="M208" s="4">
        <v>0.20899999999999999</v>
      </c>
      <c r="N208" s="4">
        <v>0.20899999999999999</v>
      </c>
      <c r="O208" s="4">
        <v>0.20899999999999999</v>
      </c>
      <c r="P208" s="4">
        <v>0</v>
      </c>
      <c r="Q208" s="3" t="s">
        <v>26</v>
      </c>
      <c r="R208" s="3">
        <v>0</v>
      </c>
      <c r="S208" s="4">
        <v>0</v>
      </c>
      <c r="T208" s="4">
        <v>31</v>
      </c>
      <c r="U208" s="4">
        <v>69</v>
      </c>
      <c r="V208" s="4">
        <f>IF(ISERROR(VLOOKUP($S$208,'TAR FIN'!$A$1:$O$88,15,0)),0,VLOOKUP($S$208,'TAR FIN'!$A$1:$O$88,15,0))</f>
        <v>0</v>
      </c>
      <c r="W208" s="4">
        <f>IF(ISERROR(VLOOKUP($T$208,'TAR FIN'!$A$1:$O$88,15,0)),0,VLOOKUP($T$208,'TAR FIN'!$A$1:$O$88,15,0))</f>
        <v>269.45</v>
      </c>
      <c r="X208" s="4">
        <f>IF(ISERROR(VLOOKUP($U$208,'TAR FIN'!$A$1:$O$88,15,0)),0,VLOOKUP($U$208,'TAR FIN'!$A$1:$O$88,15,0))</f>
        <v>213.27</v>
      </c>
      <c r="Y208" s="4"/>
      <c r="Z208" s="4">
        <f ca="1">('TUSD BE'!$AM$33+'TUSD BF'!$AM$33+'TUSD CVA'!$AM$33)*(1-CUSTOS!$M$38)</f>
        <v>421.14033355107131</v>
      </c>
      <c r="AA208" s="4">
        <f>('TE BE'!$AB$23+'TE BF'!$AB$23+'TE CVA'!$AB$23)*(1-CUSTOS!$M$38)</f>
        <v>179.54706321936715</v>
      </c>
      <c r="AB208" s="4">
        <f>$K$208*$V$208</f>
        <v>0</v>
      </c>
      <c r="AC208" s="4">
        <f>$M$208*$W$208</f>
        <v>56.315049999999992</v>
      </c>
      <c r="AD208" s="4">
        <f>$O$208*$X$208</f>
        <v>44.573430000000002</v>
      </c>
      <c r="AE208" s="4">
        <f>$K$208*$Y$208</f>
        <v>0</v>
      </c>
      <c r="AF208" s="4">
        <f ca="1">$M$208*$Z$208</f>
        <v>88.018329712173895</v>
      </c>
      <c r="AG208" s="4">
        <f>$O$208*$AA$208</f>
        <v>37.525336212847733</v>
      </c>
    </row>
    <row r="209" spans="1:33" ht="11.25" customHeight="1" x14ac:dyDescent="0.3">
      <c r="A209" s="3" t="s">
        <v>21</v>
      </c>
      <c r="B209" s="3" t="s">
        <v>42</v>
      </c>
      <c r="C209" s="3" t="s">
        <v>23</v>
      </c>
      <c r="D209" s="3" t="s">
        <v>43</v>
      </c>
      <c r="E209" s="3" t="s">
        <v>54</v>
      </c>
      <c r="F209" s="3" t="s">
        <v>52</v>
      </c>
      <c r="G209" s="3" t="s">
        <v>25</v>
      </c>
      <c r="H209" s="3" t="s">
        <v>25</v>
      </c>
      <c r="I209" s="6">
        <v>44743</v>
      </c>
      <c r="J209" s="4">
        <v>0</v>
      </c>
      <c r="K209" s="4">
        <v>0</v>
      </c>
      <c r="L209" s="4">
        <v>0.16</v>
      </c>
      <c r="M209" s="4">
        <v>0.16</v>
      </c>
      <c r="N209" s="4">
        <v>0.16</v>
      </c>
      <c r="O209" s="4">
        <v>0.16</v>
      </c>
      <c r="P209" s="4">
        <v>0</v>
      </c>
      <c r="Q209" s="3" t="s">
        <v>26</v>
      </c>
      <c r="R209" s="3">
        <v>0</v>
      </c>
      <c r="S209" s="4">
        <v>0</v>
      </c>
      <c r="T209" s="4">
        <v>31</v>
      </c>
      <c r="U209" s="4">
        <v>69</v>
      </c>
      <c r="V209" s="4">
        <f>IF(ISERROR(VLOOKUP($S$209,'TAR FIN'!$A$1:$O$88,15,0)),0,VLOOKUP($S$209,'TAR FIN'!$A$1:$O$88,15,0))</f>
        <v>0</v>
      </c>
      <c r="W209" s="4">
        <f>IF(ISERROR(VLOOKUP($T$209,'TAR FIN'!$A$1:$O$88,15,0)),0,VLOOKUP($T$209,'TAR FIN'!$A$1:$O$88,15,0))</f>
        <v>269.45</v>
      </c>
      <c r="X209" s="4">
        <f>IF(ISERROR(VLOOKUP($U$209,'TAR FIN'!$A$1:$O$88,15,0)),0,VLOOKUP($U$209,'TAR FIN'!$A$1:$O$88,15,0))</f>
        <v>213.27</v>
      </c>
      <c r="Y209" s="4"/>
      <c r="Z209" s="4">
        <f ca="1">('TUSD BE'!$AM$33+'TUSD BF'!$AM$33+'TUSD CVA'!$AM$33)*(1-CUSTOS!$M$38)</f>
        <v>421.14033355107131</v>
      </c>
      <c r="AA209" s="4">
        <f>('TE BE'!$AB$23+'TE BF'!$AB$23+'TE CVA'!$AB$23)*(1-CUSTOS!$M$38)</f>
        <v>179.54706321936715</v>
      </c>
      <c r="AB209" s="4">
        <f>$K$209*$V$209</f>
        <v>0</v>
      </c>
      <c r="AC209" s="4">
        <f>$M$209*$W$209</f>
        <v>43.112000000000002</v>
      </c>
      <c r="AD209" s="4">
        <f>$O$209*$X$209</f>
        <v>34.123200000000004</v>
      </c>
      <c r="AE209" s="4">
        <f>$K$209*$Y$209</f>
        <v>0</v>
      </c>
      <c r="AF209" s="4">
        <f ca="1">$M$209*$Z$209</f>
        <v>67.382453368171412</v>
      </c>
      <c r="AG209" s="4">
        <f>$O$209*$AA$209</f>
        <v>28.727530115098745</v>
      </c>
    </row>
    <row r="210" spans="1:33" ht="11.25" customHeight="1" x14ac:dyDescent="0.3">
      <c r="A210" s="3" t="s">
        <v>55</v>
      </c>
      <c r="B210" s="3" t="s">
        <v>42</v>
      </c>
      <c r="C210" s="3" t="s">
        <v>23</v>
      </c>
      <c r="D210" s="3" t="s">
        <v>43</v>
      </c>
      <c r="E210" s="3" t="s">
        <v>54</v>
      </c>
      <c r="F210" s="3" t="s">
        <v>52</v>
      </c>
      <c r="G210" s="3" t="s">
        <v>25</v>
      </c>
      <c r="H210" s="3" t="s">
        <v>25</v>
      </c>
      <c r="I210" s="6">
        <v>44774</v>
      </c>
      <c r="J210" s="4">
        <v>0</v>
      </c>
      <c r="K210" s="4">
        <v>0</v>
      </c>
      <c r="L210" s="4">
        <v>0.16</v>
      </c>
      <c r="M210" s="4">
        <v>0.16</v>
      </c>
      <c r="N210" s="4">
        <v>0.16</v>
      </c>
      <c r="O210" s="4">
        <v>0.16</v>
      </c>
      <c r="P210" s="4">
        <v>0</v>
      </c>
      <c r="Q210" s="3" t="s">
        <v>26</v>
      </c>
      <c r="R210" s="3">
        <v>0</v>
      </c>
      <c r="S210" s="4">
        <v>0</v>
      </c>
      <c r="T210" s="4">
        <v>31</v>
      </c>
      <c r="U210" s="4">
        <v>69</v>
      </c>
      <c r="V210" s="4">
        <f>IF(ISERROR(VLOOKUP($S$210,'TAR FIN'!$A$1:$O$88,15,0)),0,VLOOKUP($S$210,'TAR FIN'!$A$1:$O$88,15,0))</f>
        <v>0</v>
      </c>
      <c r="W210" s="4">
        <f>IF(ISERROR(VLOOKUP($T$210,'TAR FIN'!$A$1:$O$88,15,0)),0,VLOOKUP($T$210,'TAR FIN'!$A$1:$O$88,15,0))</f>
        <v>269.45</v>
      </c>
      <c r="X210" s="4">
        <f>IF(ISERROR(VLOOKUP($U$210,'TAR FIN'!$A$1:$O$88,15,0)),0,VLOOKUP($U$210,'TAR FIN'!$A$1:$O$88,15,0))</f>
        <v>213.27</v>
      </c>
      <c r="Y210" s="4"/>
      <c r="Z210" s="4">
        <f ca="1">('TUSD BE'!$AM$33+'TUSD BF'!$AM$33+'TUSD CVA'!$AM$33)*(1-CUSTOS!$M$38)</f>
        <v>421.14033355107131</v>
      </c>
      <c r="AA210" s="4">
        <f>('TE BE'!$AB$23+'TE BF'!$AB$23+'TE CVA'!$AB$23)*(1-CUSTOS!$M$38)</f>
        <v>179.54706321936715</v>
      </c>
      <c r="AB210" s="4">
        <f>$K$210*$V$210</f>
        <v>0</v>
      </c>
      <c r="AC210" s="4">
        <f>$M$210*$W$210</f>
        <v>43.112000000000002</v>
      </c>
      <c r="AD210" s="4">
        <f>$O$210*$X$210</f>
        <v>34.123200000000004</v>
      </c>
      <c r="AE210" s="4">
        <f>$K$210*$Y$210</f>
        <v>0</v>
      </c>
      <c r="AF210" s="4">
        <f ca="1">$M$210*$Z$210</f>
        <v>67.382453368171412</v>
      </c>
      <c r="AG210" s="4">
        <f>$O$210*$AA$210</f>
        <v>28.727530115098745</v>
      </c>
    </row>
    <row r="211" spans="1:33" ht="11.25" customHeight="1" x14ac:dyDescent="0.3">
      <c r="A211" s="3" t="s">
        <v>21</v>
      </c>
      <c r="B211" s="3" t="s">
        <v>42</v>
      </c>
      <c r="C211" s="3" t="s">
        <v>23</v>
      </c>
      <c r="D211" s="3" t="s">
        <v>43</v>
      </c>
      <c r="E211" s="3" t="s">
        <v>54</v>
      </c>
      <c r="F211" s="3" t="s">
        <v>53</v>
      </c>
      <c r="G211" s="3" t="s">
        <v>25</v>
      </c>
      <c r="H211" s="3" t="s">
        <v>25</v>
      </c>
      <c r="I211" s="6">
        <v>44440</v>
      </c>
      <c r="J211" s="4">
        <v>0</v>
      </c>
      <c r="K211" s="4">
        <v>0</v>
      </c>
      <c r="L211" s="4">
        <v>0.97499999999999998</v>
      </c>
      <c r="M211" s="4">
        <v>0.39</v>
      </c>
      <c r="N211" s="4">
        <v>0.97499999999999998</v>
      </c>
      <c r="O211" s="4">
        <v>0.39</v>
      </c>
      <c r="P211" s="4">
        <v>0</v>
      </c>
      <c r="Q211" s="3" t="s">
        <v>26</v>
      </c>
      <c r="R211" s="3">
        <v>0</v>
      </c>
      <c r="S211" s="4">
        <v>0</v>
      </c>
      <c r="T211" s="4">
        <v>31</v>
      </c>
      <c r="U211" s="4">
        <v>69</v>
      </c>
      <c r="V211" s="4">
        <f>IF(ISERROR(VLOOKUP($S$211,'TAR FIN'!$A$1:$O$88,15,0)),0,VLOOKUP($S$211,'TAR FIN'!$A$1:$O$88,15,0))</f>
        <v>0</v>
      </c>
      <c r="W211" s="4">
        <f>IF(ISERROR(VLOOKUP($T$211,'TAR FIN'!$A$1:$O$88,15,0)),0,VLOOKUP($T$211,'TAR FIN'!$A$1:$O$88,15,0))</f>
        <v>269.45</v>
      </c>
      <c r="X211" s="4">
        <f>IF(ISERROR(VLOOKUP($U$211,'TAR FIN'!$A$1:$O$88,15,0)),0,VLOOKUP($U$211,'TAR FIN'!$A$1:$O$88,15,0))</f>
        <v>213.27</v>
      </c>
      <c r="Y211" s="4"/>
      <c r="Z211" s="4">
        <f ca="1">('TUSD BE'!$AM$33+'TUSD BF'!$AM$33+'TUSD CVA'!$AM$33)*(1-CUSTOS!$M$38)</f>
        <v>421.14033355107131</v>
      </c>
      <c r="AA211" s="4">
        <f>('TE BE'!$AB$23+'TE BF'!$AB$23+'TE CVA'!$AB$23)*(1-CUSTOS!$M$38)</f>
        <v>179.54706321936715</v>
      </c>
      <c r="AB211" s="4">
        <f>$K$211*$V$211</f>
        <v>0</v>
      </c>
      <c r="AC211" s="4">
        <f>$M$211*$W$211</f>
        <v>105.0855</v>
      </c>
      <c r="AD211" s="4">
        <f>$O$211*$X$211</f>
        <v>83.175300000000007</v>
      </c>
      <c r="AE211" s="4">
        <f>$K$211*$Y$211</f>
        <v>0</v>
      </c>
      <c r="AF211" s="4">
        <f ca="1">$M$211*$Z$211</f>
        <v>164.24473008491782</v>
      </c>
      <c r="AG211" s="4">
        <f>$O$211*$AA$211</f>
        <v>70.023354655553192</v>
      </c>
    </row>
    <row r="212" spans="1:33" ht="11.25" customHeight="1" x14ac:dyDescent="0.3">
      <c r="A212" s="3" t="s">
        <v>21</v>
      </c>
      <c r="B212" s="3" t="s">
        <v>42</v>
      </c>
      <c r="C212" s="3" t="s">
        <v>23</v>
      </c>
      <c r="D212" s="3" t="s">
        <v>43</v>
      </c>
      <c r="E212" s="3" t="s">
        <v>54</v>
      </c>
      <c r="F212" s="3" t="s">
        <v>53</v>
      </c>
      <c r="G212" s="3" t="s">
        <v>25</v>
      </c>
      <c r="H212" s="3" t="s">
        <v>25</v>
      </c>
      <c r="I212" s="6">
        <v>44470</v>
      </c>
      <c r="J212" s="4">
        <v>0</v>
      </c>
      <c r="K212" s="4">
        <v>0</v>
      </c>
      <c r="L212" s="4">
        <v>1.417</v>
      </c>
      <c r="M212" s="4">
        <v>0.56679999999999997</v>
      </c>
      <c r="N212" s="4">
        <v>1.417</v>
      </c>
      <c r="O212" s="4">
        <v>0.56679999999999997</v>
      </c>
      <c r="P212" s="4">
        <v>0</v>
      </c>
      <c r="Q212" s="3" t="s">
        <v>26</v>
      </c>
      <c r="R212" s="3">
        <v>0</v>
      </c>
      <c r="S212" s="4">
        <v>0</v>
      </c>
      <c r="T212" s="4">
        <v>31</v>
      </c>
      <c r="U212" s="4">
        <v>69</v>
      </c>
      <c r="V212" s="4">
        <f>IF(ISERROR(VLOOKUP($S$212,'TAR FIN'!$A$1:$O$88,15,0)),0,VLOOKUP($S$212,'TAR FIN'!$A$1:$O$88,15,0))</f>
        <v>0</v>
      </c>
      <c r="W212" s="4">
        <f>IF(ISERROR(VLOOKUP($T$212,'TAR FIN'!$A$1:$O$88,15,0)),0,VLOOKUP($T$212,'TAR FIN'!$A$1:$O$88,15,0))</f>
        <v>269.45</v>
      </c>
      <c r="X212" s="4">
        <f>IF(ISERROR(VLOOKUP($U$212,'TAR FIN'!$A$1:$O$88,15,0)),0,VLOOKUP($U$212,'TAR FIN'!$A$1:$O$88,15,0))</f>
        <v>213.27</v>
      </c>
      <c r="Y212" s="4"/>
      <c r="Z212" s="4">
        <f ca="1">('TUSD BE'!$AM$33+'TUSD BF'!$AM$33+'TUSD CVA'!$AM$33)*(1-CUSTOS!$M$38)</f>
        <v>421.14033355107131</v>
      </c>
      <c r="AA212" s="4">
        <f>('TE BE'!$AB$23+'TE BF'!$AB$23+'TE CVA'!$AB$23)*(1-CUSTOS!$M$38)</f>
        <v>179.54706321936715</v>
      </c>
      <c r="AB212" s="4">
        <f>$K$212*$V$212</f>
        <v>0</v>
      </c>
      <c r="AC212" s="4">
        <f>$M$212*$W$212</f>
        <v>152.72425999999999</v>
      </c>
      <c r="AD212" s="4">
        <f>$O$212*$X$212</f>
        <v>120.88143599999999</v>
      </c>
      <c r="AE212" s="4">
        <f>$K$212*$Y$212</f>
        <v>0</v>
      </c>
      <c r="AF212" s="4">
        <f ca="1">$M$212*$Z$212</f>
        <v>238.7023410567472</v>
      </c>
      <c r="AG212" s="4">
        <f>$O$212*$AA$212</f>
        <v>101.76727543273729</v>
      </c>
    </row>
    <row r="213" spans="1:33" ht="11.25" customHeight="1" x14ac:dyDescent="0.3">
      <c r="A213" s="3" t="s">
        <v>21</v>
      </c>
      <c r="B213" s="3" t="s">
        <v>42</v>
      </c>
      <c r="C213" s="3" t="s">
        <v>23</v>
      </c>
      <c r="D213" s="3" t="s">
        <v>43</v>
      </c>
      <c r="E213" s="3" t="s">
        <v>54</v>
      </c>
      <c r="F213" s="3" t="s">
        <v>53</v>
      </c>
      <c r="G213" s="3" t="s">
        <v>25</v>
      </c>
      <c r="H213" s="3" t="s">
        <v>25</v>
      </c>
      <c r="I213" s="6">
        <v>44501</v>
      </c>
      <c r="J213" s="4">
        <v>0</v>
      </c>
      <c r="K213" s="4">
        <v>0</v>
      </c>
      <c r="L213" s="4">
        <v>1.6319999999999999</v>
      </c>
      <c r="M213" s="4">
        <v>0.65280000000000005</v>
      </c>
      <c r="N213" s="4">
        <v>1.6319999999999999</v>
      </c>
      <c r="O213" s="4">
        <v>0.65280000000000005</v>
      </c>
      <c r="P213" s="4">
        <v>0</v>
      </c>
      <c r="Q213" s="3" t="s">
        <v>26</v>
      </c>
      <c r="R213" s="3">
        <v>0</v>
      </c>
      <c r="S213" s="4">
        <v>0</v>
      </c>
      <c r="T213" s="4">
        <v>31</v>
      </c>
      <c r="U213" s="4">
        <v>69</v>
      </c>
      <c r="V213" s="4">
        <f>IF(ISERROR(VLOOKUP($S$213,'TAR FIN'!$A$1:$O$88,15,0)),0,VLOOKUP($S$213,'TAR FIN'!$A$1:$O$88,15,0))</f>
        <v>0</v>
      </c>
      <c r="W213" s="4">
        <f>IF(ISERROR(VLOOKUP($T$213,'TAR FIN'!$A$1:$O$88,15,0)),0,VLOOKUP($T$213,'TAR FIN'!$A$1:$O$88,15,0))</f>
        <v>269.45</v>
      </c>
      <c r="X213" s="4">
        <f>IF(ISERROR(VLOOKUP($U$213,'TAR FIN'!$A$1:$O$88,15,0)),0,VLOOKUP($U$213,'TAR FIN'!$A$1:$O$88,15,0))</f>
        <v>213.27</v>
      </c>
      <c r="Y213" s="4"/>
      <c r="Z213" s="4">
        <f ca="1">('TUSD BE'!$AM$33+'TUSD BF'!$AM$33+'TUSD CVA'!$AM$33)*(1-CUSTOS!$M$38)</f>
        <v>421.14033355107131</v>
      </c>
      <c r="AA213" s="4">
        <f>('TE BE'!$AB$23+'TE BF'!$AB$23+'TE CVA'!$AB$23)*(1-CUSTOS!$M$38)</f>
        <v>179.54706321936715</v>
      </c>
      <c r="AB213" s="4">
        <f>$K$213*$V$213</f>
        <v>0</v>
      </c>
      <c r="AC213" s="4">
        <f>$M$213*$W$213</f>
        <v>175.89696000000001</v>
      </c>
      <c r="AD213" s="4">
        <f>$O$213*$X$213</f>
        <v>139.22265600000003</v>
      </c>
      <c r="AE213" s="4">
        <f>$K$213*$Y$213</f>
        <v>0</v>
      </c>
      <c r="AF213" s="4">
        <f ca="1">$M$213*$Z$213</f>
        <v>274.92040974213938</v>
      </c>
      <c r="AG213" s="4">
        <f>$O$213*$AA$213</f>
        <v>117.20832286960288</v>
      </c>
    </row>
    <row r="214" spans="1:33" ht="11.25" customHeight="1" x14ac:dyDescent="0.3">
      <c r="A214" s="3" t="s">
        <v>21</v>
      </c>
      <c r="B214" s="3" t="s">
        <v>42</v>
      </c>
      <c r="C214" s="3" t="s">
        <v>23</v>
      </c>
      <c r="D214" s="3" t="s">
        <v>43</v>
      </c>
      <c r="E214" s="3" t="s">
        <v>54</v>
      </c>
      <c r="F214" s="3" t="s">
        <v>53</v>
      </c>
      <c r="G214" s="3" t="s">
        <v>25</v>
      </c>
      <c r="H214" s="3" t="s">
        <v>25</v>
      </c>
      <c r="I214" s="6">
        <v>44531</v>
      </c>
      <c r="J214" s="4">
        <v>0</v>
      </c>
      <c r="K214" s="4">
        <v>0</v>
      </c>
      <c r="L214" s="4">
        <v>2.3889999999999998</v>
      </c>
      <c r="M214" s="4">
        <v>0.9556</v>
      </c>
      <c r="N214" s="4">
        <v>2.3889999999999998</v>
      </c>
      <c r="O214" s="4">
        <v>0.9556</v>
      </c>
      <c r="P214" s="4">
        <v>0</v>
      </c>
      <c r="Q214" s="3" t="s">
        <v>26</v>
      </c>
      <c r="R214" s="3">
        <v>0</v>
      </c>
      <c r="S214" s="4">
        <v>0</v>
      </c>
      <c r="T214" s="4">
        <v>31</v>
      </c>
      <c r="U214" s="4">
        <v>69</v>
      </c>
      <c r="V214" s="4">
        <f>IF(ISERROR(VLOOKUP($S$214,'TAR FIN'!$A$1:$O$88,15,0)),0,VLOOKUP($S$214,'TAR FIN'!$A$1:$O$88,15,0))</f>
        <v>0</v>
      </c>
      <c r="W214" s="4">
        <f>IF(ISERROR(VLOOKUP($T$214,'TAR FIN'!$A$1:$O$88,15,0)),0,VLOOKUP($T$214,'TAR FIN'!$A$1:$O$88,15,0))</f>
        <v>269.45</v>
      </c>
      <c r="X214" s="4">
        <f>IF(ISERROR(VLOOKUP($U$214,'TAR FIN'!$A$1:$O$88,15,0)),0,VLOOKUP($U$214,'TAR FIN'!$A$1:$O$88,15,0))</f>
        <v>213.27</v>
      </c>
      <c r="Y214" s="4"/>
      <c r="Z214" s="4">
        <f ca="1">('TUSD BE'!$AM$33+'TUSD BF'!$AM$33+'TUSD CVA'!$AM$33)*(1-CUSTOS!$M$38)</f>
        <v>421.14033355107131</v>
      </c>
      <c r="AA214" s="4">
        <f>('TE BE'!$AB$23+'TE BF'!$AB$23+'TE CVA'!$AB$23)*(1-CUSTOS!$M$38)</f>
        <v>179.54706321936715</v>
      </c>
      <c r="AB214" s="4">
        <f>$K$214*$V$214</f>
        <v>0</v>
      </c>
      <c r="AC214" s="4">
        <f>$M$214*$W$214</f>
        <v>257.48642000000001</v>
      </c>
      <c r="AD214" s="4">
        <f>$O$214*$X$214</f>
        <v>203.80081200000001</v>
      </c>
      <c r="AE214" s="4">
        <f>$K$214*$Y$214</f>
        <v>0</v>
      </c>
      <c r="AF214" s="4">
        <f ca="1">$M$214*$Z$214</f>
        <v>402.44170274140373</v>
      </c>
      <c r="AG214" s="4">
        <f>$O$214*$AA$214</f>
        <v>171.57517361242725</v>
      </c>
    </row>
    <row r="215" spans="1:33" ht="11.25" customHeight="1" x14ac:dyDescent="0.3">
      <c r="A215" s="3" t="s">
        <v>21</v>
      </c>
      <c r="B215" s="3" t="s">
        <v>42</v>
      </c>
      <c r="C215" s="3" t="s">
        <v>23</v>
      </c>
      <c r="D215" s="3" t="s">
        <v>43</v>
      </c>
      <c r="E215" s="3" t="s">
        <v>54</v>
      </c>
      <c r="F215" s="3" t="s">
        <v>53</v>
      </c>
      <c r="G215" s="3" t="s">
        <v>25</v>
      </c>
      <c r="H215" s="3" t="s">
        <v>25</v>
      </c>
      <c r="I215" s="6">
        <v>44562</v>
      </c>
      <c r="J215" s="4">
        <v>0</v>
      </c>
      <c r="K215" s="4">
        <v>0</v>
      </c>
      <c r="L215" s="4">
        <v>3.42</v>
      </c>
      <c r="M215" s="4">
        <v>1.3680000000000001</v>
      </c>
      <c r="N215" s="4">
        <v>3.42</v>
      </c>
      <c r="O215" s="4">
        <v>1.3680000000000001</v>
      </c>
      <c r="P215" s="4">
        <v>0</v>
      </c>
      <c r="Q215" s="3" t="s">
        <v>26</v>
      </c>
      <c r="R215" s="3">
        <v>0</v>
      </c>
      <c r="S215" s="4">
        <v>0</v>
      </c>
      <c r="T215" s="4">
        <v>31</v>
      </c>
      <c r="U215" s="4">
        <v>69</v>
      </c>
      <c r="V215" s="4">
        <f>IF(ISERROR(VLOOKUP($S$215,'TAR FIN'!$A$1:$O$88,15,0)),0,VLOOKUP($S$215,'TAR FIN'!$A$1:$O$88,15,0))</f>
        <v>0</v>
      </c>
      <c r="W215" s="4">
        <f>IF(ISERROR(VLOOKUP($T$215,'TAR FIN'!$A$1:$O$88,15,0)),0,VLOOKUP($T$215,'TAR FIN'!$A$1:$O$88,15,0))</f>
        <v>269.45</v>
      </c>
      <c r="X215" s="4">
        <f>IF(ISERROR(VLOOKUP($U$215,'TAR FIN'!$A$1:$O$88,15,0)),0,VLOOKUP($U$215,'TAR FIN'!$A$1:$O$88,15,0))</f>
        <v>213.27</v>
      </c>
      <c r="Y215" s="4"/>
      <c r="Z215" s="4">
        <f ca="1">('TUSD BE'!$AM$33+'TUSD BF'!$AM$33+'TUSD CVA'!$AM$33)*(1-CUSTOS!$M$38)</f>
        <v>421.14033355107131</v>
      </c>
      <c r="AA215" s="4">
        <f>('TE BE'!$AB$23+'TE BF'!$AB$23+'TE CVA'!$AB$23)*(1-CUSTOS!$M$38)</f>
        <v>179.54706321936715</v>
      </c>
      <c r="AB215" s="4">
        <f>$K$215*$V$215</f>
        <v>0</v>
      </c>
      <c r="AC215" s="4">
        <f>$M$215*$W$215</f>
        <v>368.60759999999999</v>
      </c>
      <c r="AD215" s="4">
        <f>$O$215*$X$215</f>
        <v>291.75336000000004</v>
      </c>
      <c r="AE215" s="4">
        <f>$K$215*$Y$215</f>
        <v>0</v>
      </c>
      <c r="AF215" s="4">
        <f ca="1">$M$215*$Z$215</f>
        <v>576.11997629786561</v>
      </c>
      <c r="AG215" s="4">
        <f>$O$215*$AA$215</f>
        <v>245.62038248409428</v>
      </c>
    </row>
    <row r="216" spans="1:33" ht="11.25" customHeight="1" x14ac:dyDescent="0.3">
      <c r="A216" s="3" t="s">
        <v>21</v>
      </c>
      <c r="B216" s="3" t="s">
        <v>42</v>
      </c>
      <c r="C216" s="3" t="s">
        <v>23</v>
      </c>
      <c r="D216" s="3" t="s">
        <v>43</v>
      </c>
      <c r="E216" s="3" t="s">
        <v>54</v>
      </c>
      <c r="F216" s="3" t="s">
        <v>53</v>
      </c>
      <c r="G216" s="3" t="s">
        <v>25</v>
      </c>
      <c r="H216" s="3" t="s">
        <v>25</v>
      </c>
      <c r="I216" s="6">
        <v>44593</v>
      </c>
      <c r="J216" s="4">
        <v>0</v>
      </c>
      <c r="K216" s="4">
        <v>0</v>
      </c>
      <c r="L216" s="4">
        <v>3.9550000000000001</v>
      </c>
      <c r="M216" s="4">
        <v>1.5820000000000001</v>
      </c>
      <c r="N216" s="4">
        <v>3.9550000000000001</v>
      </c>
      <c r="O216" s="4">
        <v>1.5820000000000001</v>
      </c>
      <c r="P216" s="4">
        <v>0</v>
      </c>
      <c r="Q216" s="3" t="s">
        <v>26</v>
      </c>
      <c r="R216" s="3">
        <v>0</v>
      </c>
      <c r="S216" s="4">
        <v>0</v>
      </c>
      <c r="T216" s="4">
        <v>31</v>
      </c>
      <c r="U216" s="4">
        <v>69</v>
      </c>
      <c r="V216" s="4">
        <f>IF(ISERROR(VLOOKUP($S$216,'TAR FIN'!$A$1:$O$88,15,0)),0,VLOOKUP($S$216,'TAR FIN'!$A$1:$O$88,15,0))</f>
        <v>0</v>
      </c>
      <c r="W216" s="4">
        <f>IF(ISERROR(VLOOKUP($T$216,'TAR FIN'!$A$1:$O$88,15,0)),0,VLOOKUP($T$216,'TAR FIN'!$A$1:$O$88,15,0))</f>
        <v>269.45</v>
      </c>
      <c r="X216" s="4">
        <f>IF(ISERROR(VLOOKUP($U$216,'TAR FIN'!$A$1:$O$88,15,0)),0,VLOOKUP($U$216,'TAR FIN'!$A$1:$O$88,15,0))</f>
        <v>213.27</v>
      </c>
      <c r="Y216" s="4"/>
      <c r="Z216" s="4">
        <f ca="1">('TUSD BE'!$AM$33+'TUSD BF'!$AM$33+'TUSD CVA'!$AM$33)*(1-CUSTOS!$M$38)</f>
        <v>421.14033355107131</v>
      </c>
      <c r="AA216" s="4">
        <f>('TE BE'!$AB$23+'TE BF'!$AB$23+'TE CVA'!$AB$23)*(1-CUSTOS!$M$38)</f>
        <v>179.54706321936715</v>
      </c>
      <c r="AB216" s="4">
        <f>$K$216*$V$216</f>
        <v>0</v>
      </c>
      <c r="AC216" s="4">
        <f>$M$216*$W$216</f>
        <v>426.26990000000001</v>
      </c>
      <c r="AD216" s="4">
        <f>$O$216*$X$216</f>
        <v>337.39314000000002</v>
      </c>
      <c r="AE216" s="4">
        <f>$K$216*$Y$216</f>
        <v>0</v>
      </c>
      <c r="AF216" s="4">
        <f ca="1">$M$216*$Z$216</f>
        <v>666.2440076777948</v>
      </c>
      <c r="AG216" s="4">
        <f>$O$216*$AA$216</f>
        <v>284.04345401303885</v>
      </c>
    </row>
    <row r="217" spans="1:33" ht="11.25" customHeight="1" x14ac:dyDescent="0.3">
      <c r="A217" s="3" t="s">
        <v>21</v>
      </c>
      <c r="B217" s="3" t="s">
        <v>42</v>
      </c>
      <c r="C217" s="3" t="s">
        <v>23</v>
      </c>
      <c r="D217" s="3" t="s">
        <v>43</v>
      </c>
      <c r="E217" s="3" t="s">
        <v>54</v>
      </c>
      <c r="F217" s="3" t="s">
        <v>53</v>
      </c>
      <c r="G217" s="3" t="s">
        <v>25</v>
      </c>
      <c r="H217" s="3" t="s">
        <v>25</v>
      </c>
      <c r="I217" s="6">
        <v>44621</v>
      </c>
      <c r="J217" s="4">
        <v>0</v>
      </c>
      <c r="K217" s="4">
        <v>0</v>
      </c>
      <c r="L217" s="4">
        <v>2.3809999999999998</v>
      </c>
      <c r="M217" s="4">
        <v>0.95240000000000002</v>
      </c>
      <c r="N217" s="4">
        <v>2.3809999999999998</v>
      </c>
      <c r="O217" s="4">
        <v>0.95240000000000002</v>
      </c>
      <c r="P217" s="4">
        <v>0</v>
      </c>
      <c r="Q217" s="3" t="s">
        <v>26</v>
      </c>
      <c r="R217" s="3">
        <v>0</v>
      </c>
      <c r="S217" s="4">
        <v>0</v>
      </c>
      <c r="T217" s="4">
        <v>31</v>
      </c>
      <c r="U217" s="4">
        <v>69</v>
      </c>
      <c r="V217" s="4">
        <f>IF(ISERROR(VLOOKUP($S$217,'TAR FIN'!$A$1:$O$88,15,0)),0,VLOOKUP($S$217,'TAR FIN'!$A$1:$O$88,15,0))</f>
        <v>0</v>
      </c>
      <c r="W217" s="4">
        <f>IF(ISERROR(VLOOKUP($T$217,'TAR FIN'!$A$1:$O$88,15,0)),0,VLOOKUP($T$217,'TAR FIN'!$A$1:$O$88,15,0))</f>
        <v>269.45</v>
      </c>
      <c r="X217" s="4">
        <f>IF(ISERROR(VLOOKUP($U$217,'TAR FIN'!$A$1:$O$88,15,0)),0,VLOOKUP($U$217,'TAR FIN'!$A$1:$O$88,15,0))</f>
        <v>213.27</v>
      </c>
      <c r="Y217" s="4"/>
      <c r="Z217" s="4">
        <f ca="1">('TUSD BE'!$AM$33+'TUSD BF'!$AM$33+'TUSD CVA'!$AM$33)*(1-CUSTOS!$M$38)</f>
        <v>421.14033355107131</v>
      </c>
      <c r="AA217" s="4">
        <f>('TE BE'!$AB$23+'TE BF'!$AB$23+'TE CVA'!$AB$23)*(1-CUSTOS!$M$38)</f>
        <v>179.54706321936715</v>
      </c>
      <c r="AB217" s="4">
        <f>$K$217*$V$217</f>
        <v>0</v>
      </c>
      <c r="AC217" s="4">
        <f>$M$217*$W$217</f>
        <v>256.62418000000002</v>
      </c>
      <c r="AD217" s="4">
        <f>$O$217*$X$217</f>
        <v>203.11834800000003</v>
      </c>
      <c r="AE217" s="4">
        <f>$K$217*$Y$217</f>
        <v>0</v>
      </c>
      <c r="AF217" s="4">
        <f ca="1">$M$217*$Z$217</f>
        <v>401.09405367404031</v>
      </c>
      <c r="AG217" s="4">
        <f>$O$217*$AA$217</f>
        <v>171.00062301012528</v>
      </c>
    </row>
    <row r="218" spans="1:33" ht="11.25" customHeight="1" x14ac:dyDescent="0.3">
      <c r="A218" s="3" t="s">
        <v>21</v>
      </c>
      <c r="B218" s="3" t="s">
        <v>42</v>
      </c>
      <c r="C218" s="3" t="s">
        <v>23</v>
      </c>
      <c r="D218" s="3" t="s">
        <v>43</v>
      </c>
      <c r="E218" s="3" t="s">
        <v>54</v>
      </c>
      <c r="F218" s="3" t="s">
        <v>53</v>
      </c>
      <c r="G218" s="3" t="s">
        <v>25</v>
      </c>
      <c r="H218" s="3" t="s">
        <v>25</v>
      </c>
      <c r="I218" s="6">
        <v>44652</v>
      </c>
      <c r="J218" s="4">
        <v>0</v>
      </c>
      <c r="K218" s="4">
        <v>0</v>
      </c>
      <c r="L218" s="4">
        <v>2.88</v>
      </c>
      <c r="M218" s="4">
        <v>1.1519999999999999</v>
      </c>
      <c r="N218" s="4">
        <v>2.88</v>
      </c>
      <c r="O218" s="4">
        <v>1.1519999999999999</v>
      </c>
      <c r="P218" s="4">
        <v>0</v>
      </c>
      <c r="Q218" s="3" t="s">
        <v>26</v>
      </c>
      <c r="R218" s="3">
        <v>0</v>
      </c>
      <c r="S218" s="4">
        <v>0</v>
      </c>
      <c r="T218" s="4">
        <v>31</v>
      </c>
      <c r="U218" s="4">
        <v>69</v>
      </c>
      <c r="V218" s="4">
        <f>IF(ISERROR(VLOOKUP($S$218,'TAR FIN'!$A$1:$O$88,15,0)),0,VLOOKUP($S$218,'TAR FIN'!$A$1:$O$88,15,0))</f>
        <v>0</v>
      </c>
      <c r="W218" s="4">
        <f>IF(ISERROR(VLOOKUP($T$218,'TAR FIN'!$A$1:$O$88,15,0)),0,VLOOKUP($T$218,'TAR FIN'!$A$1:$O$88,15,0))</f>
        <v>269.45</v>
      </c>
      <c r="X218" s="4">
        <f>IF(ISERROR(VLOOKUP($U$218,'TAR FIN'!$A$1:$O$88,15,0)),0,VLOOKUP($U$218,'TAR FIN'!$A$1:$O$88,15,0))</f>
        <v>213.27</v>
      </c>
      <c r="Y218" s="4"/>
      <c r="Z218" s="4">
        <f ca="1">('TUSD BE'!$AM$33+'TUSD BF'!$AM$33+'TUSD CVA'!$AM$33)*(1-CUSTOS!$M$38)</f>
        <v>421.14033355107131</v>
      </c>
      <c r="AA218" s="4">
        <f>('TE BE'!$AB$23+'TE BF'!$AB$23+'TE CVA'!$AB$23)*(1-CUSTOS!$M$38)</f>
        <v>179.54706321936715</v>
      </c>
      <c r="AB218" s="4">
        <f>$K$218*$V$218</f>
        <v>0</v>
      </c>
      <c r="AC218" s="4">
        <f>$M$218*$W$218</f>
        <v>310.40639999999996</v>
      </c>
      <c r="AD218" s="4">
        <f>$O$218*$X$218</f>
        <v>245.68704</v>
      </c>
      <c r="AE218" s="4">
        <f>$K$218*$Y$218</f>
        <v>0</v>
      </c>
      <c r="AF218" s="4">
        <f ca="1">$M$218*$Z$218</f>
        <v>485.15366425083408</v>
      </c>
      <c r="AG218" s="4">
        <f>$O$218*$AA$218</f>
        <v>206.83821682871093</v>
      </c>
    </row>
    <row r="219" spans="1:33" ht="11.25" customHeight="1" x14ac:dyDescent="0.3">
      <c r="A219" s="3" t="s">
        <v>21</v>
      </c>
      <c r="B219" s="3" t="s">
        <v>42</v>
      </c>
      <c r="C219" s="3" t="s">
        <v>23</v>
      </c>
      <c r="D219" s="3" t="s">
        <v>43</v>
      </c>
      <c r="E219" s="3" t="s">
        <v>54</v>
      </c>
      <c r="F219" s="3" t="s">
        <v>53</v>
      </c>
      <c r="G219" s="3" t="s">
        <v>25</v>
      </c>
      <c r="H219" s="3" t="s">
        <v>25</v>
      </c>
      <c r="I219" s="6">
        <v>44682</v>
      </c>
      <c r="J219" s="4">
        <v>0</v>
      </c>
      <c r="K219" s="4">
        <v>0</v>
      </c>
      <c r="L219" s="4">
        <v>2.907</v>
      </c>
      <c r="M219" s="4">
        <v>1.1628000000000001</v>
      </c>
      <c r="N219" s="4">
        <v>2.907</v>
      </c>
      <c r="O219" s="4">
        <v>1.1628000000000001</v>
      </c>
      <c r="P219" s="4">
        <v>0</v>
      </c>
      <c r="Q219" s="3" t="s">
        <v>26</v>
      </c>
      <c r="R219" s="3">
        <v>0</v>
      </c>
      <c r="S219" s="4">
        <v>0</v>
      </c>
      <c r="T219" s="4">
        <v>31</v>
      </c>
      <c r="U219" s="4">
        <v>69</v>
      </c>
      <c r="V219" s="4">
        <f>IF(ISERROR(VLOOKUP($S$219,'TAR FIN'!$A$1:$O$88,15,0)),0,VLOOKUP($S$219,'TAR FIN'!$A$1:$O$88,15,0))</f>
        <v>0</v>
      </c>
      <c r="W219" s="4">
        <f>IF(ISERROR(VLOOKUP($T$219,'TAR FIN'!$A$1:$O$88,15,0)),0,VLOOKUP($T$219,'TAR FIN'!$A$1:$O$88,15,0))</f>
        <v>269.45</v>
      </c>
      <c r="X219" s="4">
        <f>IF(ISERROR(VLOOKUP($U$219,'TAR FIN'!$A$1:$O$88,15,0)),0,VLOOKUP($U$219,'TAR FIN'!$A$1:$O$88,15,0))</f>
        <v>213.27</v>
      </c>
      <c r="Y219" s="4"/>
      <c r="Z219" s="4">
        <f ca="1">('TUSD BE'!$AM$33+'TUSD BF'!$AM$33+'TUSD CVA'!$AM$33)*(1-CUSTOS!$M$38)</f>
        <v>421.14033355107131</v>
      </c>
      <c r="AA219" s="4">
        <f>('TE BE'!$AB$23+'TE BF'!$AB$23+'TE CVA'!$AB$23)*(1-CUSTOS!$M$38)</f>
        <v>179.54706321936715</v>
      </c>
      <c r="AB219" s="4">
        <f>$K$219*$V$219</f>
        <v>0</v>
      </c>
      <c r="AC219" s="4">
        <f>$M$219*$W$219</f>
        <v>313.31646000000001</v>
      </c>
      <c r="AD219" s="4">
        <f>$O$219*$X$219</f>
        <v>247.99035600000002</v>
      </c>
      <c r="AE219" s="4">
        <f>$K$219*$Y$219</f>
        <v>0</v>
      </c>
      <c r="AF219" s="4">
        <f ca="1">$M$219*$Z$219</f>
        <v>489.70197985318572</v>
      </c>
      <c r="AG219" s="4">
        <f>$O$219*$AA$219</f>
        <v>208.77732511148014</v>
      </c>
    </row>
    <row r="220" spans="1:33" ht="11.25" customHeight="1" x14ac:dyDescent="0.3">
      <c r="A220" s="3" t="s">
        <v>21</v>
      </c>
      <c r="B220" s="3" t="s">
        <v>42</v>
      </c>
      <c r="C220" s="3" t="s">
        <v>23</v>
      </c>
      <c r="D220" s="3" t="s">
        <v>43</v>
      </c>
      <c r="E220" s="3" t="s">
        <v>54</v>
      </c>
      <c r="F220" s="3" t="s">
        <v>53</v>
      </c>
      <c r="G220" s="3" t="s">
        <v>25</v>
      </c>
      <c r="H220" s="3" t="s">
        <v>25</v>
      </c>
      <c r="I220" s="6">
        <v>44713</v>
      </c>
      <c r="J220" s="4">
        <v>0</v>
      </c>
      <c r="K220" s="4">
        <v>0</v>
      </c>
      <c r="L220" s="4">
        <v>0.53700000000000003</v>
      </c>
      <c r="M220" s="4">
        <v>0.21479999999999999</v>
      </c>
      <c r="N220" s="4">
        <v>0.53700000000000003</v>
      </c>
      <c r="O220" s="4">
        <v>0.21479999999999999</v>
      </c>
      <c r="P220" s="4">
        <v>0</v>
      </c>
      <c r="Q220" s="3" t="s">
        <v>26</v>
      </c>
      <c r="R220" s="3">
        <v>0</v>
      </c>
      <c r="S220" s="4">
        <v>0</v>
      </c>
      <c r="T220" s="4">
        <v>31</v>
      </c>
      <c r="U220" s="4">
        <v>69</v>
      </c>
      <c r="V220" s="4">
        <f>IF(ISERROR(VLOOKUP($S$220,'TAR FIN'!$A$1:$O$88,15,0)),0,VLOOKUP($S$220,'TAR FIN'!$A$1:$O$88,15,0))</f>
        <v>0</v>
      </c>
      <c r="W220" s="4">
        <f>IF(ISERROR(VLOOKUP($T$220,'TAR FIN'!$A$1:$O$88,15,0)),0,VLOOKUP($T$220,'TAR FIN'!$A$1:$O$88,15,0))</f>
        <v>269.45</v>
      </c>
      <c r="X220" s="4">
        <f>IF(ISERROR(VLOOKUP($U$220,'TAR FIN'!$A$1:$O$88,15,0)),0,VLOOKUP($U$220,'TAR FIN'!$A$1:$O$88,15,0))</f>
        <v>213.27</v>
      </c>
      <c r="Y220" s="4"/>
      <c r="Z220" s="4">
        <f ca="1">('TUSD BE'!$AM$33+'TUSD BF'!$AM$33+'TUSD CVA'!$AM$33)*(1-CUSTOS!$M$38)</f>
        <v>421.14033355107131</v>
      </c>
      <c r="AA220" s="4">
        <f>('TE BE'!$AB$23+'TE BF'!$AB$23+'TE CVA'!$AB$23)*(1-CUSTOS!$M$38)</f>
        <v>179.54706321936715</v>
      </c>
      <c r="AB220" s="4">
        <f>$K$220*$V$220</f>
        <v>0</v>
      </c>
      <c r="AC220" s="4">
        <f>$M$220*$W$220</f>
        <v>57.877859999999998</v>
      </c>
      <c r="AD220" s="4">
        <f>$O$220*$X$220</f>
        <v>45.810395999999997</v>
      </c>
      <c r="AE220" s="4">
        <f>$K$220*$Y$220</f>
        <v>0</v>
      </c>
      <c r="AF220" s="4">
        <f ca="1">$M$220*$Z$220</f>
        <v>90.460943646770119</v>
      </c>
      <c r="AG220" s="4">
        <f>$O$220*$AA$220</f>
        <v>38.566709179520061</v>
      </c>
    </row>
    <row r="221" spans="1:33" ht="11.25" customHeight="1" x14ac:dyDescent="0.3">
      <c r="A221" s="3" t="s">
        <v>21</v>
      </c>
      <c r="B221" s="3" t="s">
        <v>42</v>
      </c>
      <c r="C221" s="3" t="s">
        <v>23</v>
      </c>
      <c r="D221" s="3" t="s">
        <v>43</v>
      </c>
      <c r="E221" s="3" t="s">
        <v>54</v>
      </c>
      <c r="F221" s="3" t="s">
        <v>53</v>
      </c>
      <c r="G221" s="3" t="s">
        <v>25</v>
      </c>
      <c r="H221" s="3" t="s">
        <v>25</v>
      </c>
      <c r="I221" s="6">
        <v>44743</v>
      </c>
      <c r="J221" s="4">
        <v>0</v>
      </c>
      <c r="K221" s="4">
        <v>0</v>
      </c>
      <c r="L221" s="4">
        <v>0.435</v>
      </c>
      <c r="M221" s="4">
        <v>0.17399999999999999</v>
      </c>
      <c r="N221" s="4">
        <v>0.435</v>
      </c>
      <c r="O221" s="4">
        <v>0.17399999999999999</v>
      </c>
      <c r="P221" s="4">
        <v>0</v>
      </c>
      <c r="Q221" s="3" t="s">
        <v>26</v>
      </c>
      <c r="R221" s="3">
        <v>0</v>
      </c>
      <c r="S221" s="4">
        <v>0</v>
      </c>
      <c r="T221" s="4">
        <v>31</v>
      </c>
      <c r="U221" s="4">
        <v>69</v>
      </c>
      <c r="V221" s="4">
        <f>IF(ISERROR(VLOOKUP($S$221,'TAR FIN'!$A$1:$O$88,15,0)),0,VLOOKUP($S$221,'TAR FIN'!$A$1:$O$88,15,0))</f>
        <v>0</v>
      </c>
      <c r="W221" s="4">
        <f>IF(ISERROR(VLOOKUP($T$221,'TAR FIN'!$A$1:$O$88,15,0)),0,VLOOKUP($T$221,'TAR FIN'!$A$1:$O$88,15,0))</f>
        <v>269.45</v>
      </c>
      <c r="X221" s="4">
        <f>IF(ISERROR(VLOOKUP($U$221,'TAR FIN'!$A$1:$O$88,15,0)),0,VLOOKUP($U$221,'TAR FIN'!$A$1:$O$88,15,0))</f>
        <v>213.27</v>
      </c>
      <c r="Y221" s="4"/>
      <c r="Z221" s="4">
        <f ca="1">('TUSD BE'!$AM$33+'TUSD BF'!$AM$33+'TUSD CVA'!$AM$33)*(1-CUSTOS!$M$38)</f>
        <v>421.14033355107131</v>
      </c>
      <c r="AA221" s="4">
        <f>('TE BE'!$AB$23+'TE BF'!$AB$23+'TE CVA'!$AB$23)*(1-CUSTOS!$M$38)</f>
        <v>179.54706321936715</v>
      </c>
      <c r="AB221" s="4">
        <f>$K$221*$V$221</f>
        <v>0</v>
      </c>
      <c r="AC221" s="4">
        <f>$M$221*$W$221</f>
        <v>46.884299999999996</v>
      </c>
      <c r="AD221" s="4">
        <f>$O$221*$X$221</f>
        <v>37.108980000000003</v>
      </c>
      <c r="AE221" s="4">
        <f>$K$221*$Y$221</f>
        <v>0</v>
      </c>
      <c r="AF221" s="4">
        <f ca="1">$M$221*$Z$221</f>
        <v>73.278418037886397</v>
      </c>
      <c r="AG221" s="4">
        <f>$O$221*$AA$221</f>
        <v>31.241189000169882</v>
      </c>
    </row>
    <row r="222" spans="1:33" ht="11.25" customHeight="1" x14ac:dyDescent="0.3">
      <c r="A222" s="3" t="s">
        <v>55</v>
      </c>
      <c r="B222" s="3" t="s">
        <v>42</v>
      </c>
      <c r="C222" s="3" t="s">
        <v>23</v>
      </c>
      <c r="D222" s="3" t="s">
        <v>43</v>
      </c>
      <c r="E222" s="3" t="s">
        <v>54</v>
      </c>
      <c r="F222" s="3" t="s">
        <v>53</v>
      </c>
      <c r="G222" s="3" t="s">
        <v>25</v>
      </c>
      <c r="H222" s="3" t="s">
        <v>25</v>
      </c>
      <c r="I222" s="6">
        <v>44774</v>
      </c>
      <c r="J222" s="4">
        <v>0</v>
      </c>
      <c r="K222" s="4">
        <v>0</v>
      </c>
      <c r="L222" s="4">
        <v>0.435</v>
      </c>
      <c r="M222" s="4">
        <v>0.17399999999999999</v>
      </c>
      <c r="N222" s="4">
        <v>0.435</v>
      </c>
      <c r="O222" s="4">
        <v>0.17399999999999999</v>
      </c>
      <c r="P222" s="4">
        <v>0</v>
      </c>
      <c r="Q222" s="3" t="s">
        <v>26</v>
      </c>
      <c r="R222" s="3">
        <v>0</v>
      </c>
      <c r="S222" s="4">
        <v>0</v>
      </c>
      <c r="T222" s="4">
        <v>31</v>
      </c>
      <c r="U222" s="4">
        <v>69</v>
      </c>
      <c r="V222" s="4">
        <f>IF(ISERROR(VLOOKUP($S$222,'TAR FIN'!$A$1:$O$88,15,0)),0,VLOOKUP($S$222,'TAR FIN'!$A$1:$O$88,15,0))</f>
        <v>0</v>
      </c>
      <c r="W222" s="4">
        <f>IF(ISERROR(VLOOKUP($T$222,'TAR FIN'!$A$1:$O$88,15,0)),0,VLOOKUP($T$222,'TAR FIN'!$A$1:$O$88,15,0))</f>
        <v>269.45</v>
      </c>
      <c r="X222" s="4">
        <f>IF(ISERROR(VLOOKUP($U$222,'TAR FIN'!$A$1:$O$88,15,0)),0,VLOOKUP($U$222,'TAR FIN'!$A$1:$O$88,15,0))</f>
        <v>213.27</v>
      </c>
      <c r="Y222" s="4"/>
      <c r="Z222" s="4">
        <f ca="1">('TUSD BE'!$AM$33+'TUSD BF'!$AM$33+'TUSD CVA'!$AM$33)*(1-CUSTOS!$M$38)</f>
        <v>421.14033355107131</v>
      </c>
      <c r="AA222" s="4">
        <f>('TE BE'!$AB$23+'TE BF'!$AB$23+'TE CVA'!$AB$23)*(1-CUSTOS!$M$38)</f>
        <v>179.54706321936715</v>
      </c>
      <c r="AB222" s="4">
        <f>$K$222*$V$222</f>
        <v>0</v>
      </c>
      <c r="AC222" s="4">
        <f>$M$222*$W$222</f>
        <v>46.884299999999996</v>
      </c>
      <c r="AD222" s="4">
        <f>$O$222*$X$222</f>
        <v>37.108980000000003</v>
      </c>
      <c r="AE222" s="4">
        <f>$K$222*$Y$222</f>
        <v>0</v>
      </c>
      <c r="AF222" s="4">
        <f ca="1">$M$222*$Z$222</f>
        <v>73.278418037886397</v>
      </c>
      <c r="AG222" s="4">
        <f>$O$222*$AA$222</f>
        <v>31.241189000169882</v>
      </c>
    </row>
    <row r="223" spans="1:33" ht="11.25" customHeight="1" x14ac:dyDescent="0.3">
      <c r="A223" s="3" t="s">
        <v>21</v>
      </c>
      <c r="B223" s="3" t="s">
        <v>42</v>
      </c>
      <c r="C223" s="3" t="s">
        <v>23</v>
      </c>
      <c r="D223" s="3" t="s">
        <v>43</v>
      </c>
      <c r="E223" s="3" t="s">
        <v>25</v>
      </c>
      <c r="F223" s="3" t="s">
        <v>25</v>
      </c>
      <c r="G223" s="3" t="s">
        <v>25</v>
      </c>
      <c r="H223" s="3" t="s">
        <v>25</v>
      </c>
      <c r="I223" s="6">
        <v>44440</v>
      </c>
      <c r="J223" s="4">
        <v>0</v>
      </c>
      <c r="K223" s="4">
        <v>0</v>
      </c>
      <c r="L223" s="4">
        <v>370.56599999999997</v>
      </c>
      <c r="M223" s="4">
        <v>370.56599999999997</v>
      </c>
      <c r="N223" s="4">
        <v>370.56599999999997</v>
      </c>
      <c r="O223" s="4">
        <v>370.56599999999997</v>
      </c>
      <c r="P223" s="4">
        <v>1600</v>
      </c>
      <c r="Q223" s="3" t="s">
        <v>26</v>
      </c>
      <c r="R223" s="3">
        <v>0</v>
      </c>
      <c r="S223" s="4">
        <v>0</v>
      </c>
      <c r="T223" s="4">
        <v>31</v>
      </c>
      <c r="U223" s="4">
        <v>69</v>
      </c>
      <c r="V223" s="4">
        <f>IF(ISERROR(VLOOKUP($S$223,'TAR FIN'!$A$1:$O$88,15,0)),0,VLOOKUP($S$223,'TAR FIN'!$A$1:$O$88,15,0))</f>
        <v>0</v>
      </c>
      <c r="W223" s="4">
        <f>IF(ISERROR(VLOOKUP($T$223,'TAR FIN'!$A$1:$O$88,15,0)),0,VLOOKUP($T$223,'TAR FIN'!$A$1:$O$88,15,0))</f>
        <v>269.45</v>
      </c>
      <c r="X223" s="4">
        <f>IF(ISERROR(VLOOKUP($U$223,'TAR FIN'!$A$1:$O$88,15,0)),0,VLOOKUP($U$223,'TAR FIN'!$A$1:$O$88,15,0))</f>
        <v>213.27</v>
      </c>
      <c r="Y223" s="4"/>
      <c r="Z223" s="4">
        <f ca="1">('TUSD BE'!$AM$33+'TUSD BF'!$AM$33+'TUSD CVA'!$AM$33)*(1-CUSTOS!$M$38)</f>
        <v>421.14033355107131</v>
      </c>
      <c r="AA223" s="4">
        <f>('TE BE'!$AB$23+'TE BF'!$AB$23+'TE CVA'!$AB$23)*(1-CUSTOS!$M$38)</f>
        <v>179.54706321936715</v>
      </c>
      <c r="AB223" s="4">
        <f>$K$223*$V$223</f>
        <v>0</v>
      </c>
      <c r="AC223" s="4">
        <f>$M$223*$W$223</f>
        <v>99849.008699999991</v>
      </c>
      <c r="AD223" s="4">
        <f>$O$223*$X$223</f>
        <v>79030.610820000002</v>
      </c>
      <c r="AE223" s="4">
        <f>$K$223*$Y$223</f>
        <v>0</v>
      </c>
      <c r="AF223" s="4">
        <f ca="1">$M$223*$Z$223</f>
        <v>156060.28884268628</v>
      </c>
      <c r="AG223" s="4">
        <f>$O$223*$AA$223</f>
        <v>66534.037028948005</v>
      </c>
    </row>
    <row r="224" spans="1:33" ht="11.25" customHeight="1" x14ac:dyDescent="0.3">
      <c r="A224" s="3" t="s">
        <v>27</v>
      </c>
      <c r="B224" s="3" t="s">
        <v>42</v>
      </c>
      <c r="C224" s="3" t="s">
        <v>23</v>
      </c>
      <c r="D224" s="3" t="s">
        <v>43</v>
      </c>
      <c r="E224" s="3" t="s">
        <v>25</v>
      </c>
      <c r="F224" s="3" t="s">
        <v>25</v>
      </c>
      <c r="G224" s="3" t="s">
        <v>25</v>
      </c>
      <c r="H224" s="3" t="s">
        <v>25</v>
      </c>
      <c r="I224" s="6">
        <v>44440</v>
      </c>
      <c r="J224" s="4">
        <v>0</v>
      </c>
      <c r="K224" s="4">
        <v>0</v>
      </c>
      <c r="L224" s="4">
        <v>-0.499</v>
      </c>
      <c r="M224" s="4">
        <v>-0.499</v>
      </c>
      <c r="N224" s="4">
        <v>-0.499</v>
      </c>
      <c r="O224" s="4">
        <v>-0.499</v>
      </c>
      <c r="P224" s="4">
        <v>0</v>
      </c>
      <c r="Q224" s="3" t="s">
        <v>26</v>
      </c>
      <c r="R224" s="3">
        <v>0</v>
      </c>
      <c r="S224" s="4">
        <v>0</v>
      </c>
      <c r="T224" s="4">
        <v>31</v>
      </c>
      <c r="U224" s="4">
        <v>69</v>
      </c>
      <c r="V224" s="4">
        <f>IF(ISERROR(VLOOKUP($S$224,'TAR FIN'!$A$1:$O$88,15,0)),0,VLOOKUP($S$224,'TAR FIN'!$A$1:$O$88,15,0))</f>
        <v>0</v>
      </c>
      <c r="W224" s="4">
        <f>IF(ISERROR(VLOOKUP($T$224,'TAR FIN'!$A$1:$O$88,15,0)),0,VLOOKUP($T$224,'TAR FIN'!$A$1:$O$88,15,0))</f>
        <v>269.45</v>
      </c>
      <c r="X224" s="4">
        <f>IF(ISERROR(VLOOKUP($U$224,'TAR FIN'!$A$1:$O$88,15,0)),0,VLOOKUP($U$224,'TAR FIN'!$A$1:$O$88,15,0))</f>
        <v>213.27</v>
      </c>
      <c r="Y224" s="4"/>
      <c r="Z224" s="4">
        <f ca="1">('TUSD BE'!$AM$33+'TUSD BF'!$AM$33+'TUSD CVA'!$AM$33)*(1-CUSTOS!$M$38)</f>
        <v>421.14033355107131</v>
      </c>
      <c r="AA224" s="4">
        <f>('TE BE'!$AB$23+'TE BF'!$AB$23+'TE CVA'!$AB$23)*(1-CUSTOS!$M$38)</f>
        <v>179.54706321936715</v>
      </c>
      <c r="AB224" s="4">
        <f>$K$224*$V$224</f>
        <v>0</v>
      </c>
      <c r="AC224" s="4">
        <f>$M$224*$W$224</f>
        <v>-134.45554999999999</v>
      </c>
      <c r="AD224" s="4">
        <f>$O$224*$X$224</f>
        <v>-106.42173000000001</v>
      </c>
      <c r="AE224" s="4">
        <f>$K$224*$Y$224</f>
        <v>0</v>
      </c>
      <c r="AF224" s="4">
        <f ca="1">$M$224*$Z$224</f>
        <v>-210.14902644198457</v>
      </c>
      <c r="AG224" s="4">
        <f>$O$224*$AA$224</f>
        <v>-89.593984546464199</v>
      </c>
    </row>
    <row r="225" spans="1:33" ht="11.25" customHeight="1" x14ac:dyDescent="0.3">
      <c r="A225" s="3" t="s">
        <v>28</v>
      </c>
      <c r="B225" s="3" t="s">
        <v>42</v>
      </c>
      <c r="C225" s="3" t="s">
        <v>23</v>
      </c>
      <c r="D225" s="3" t="s">
        <v>43</v>
      </c>
      <c r="E225" s="3" t="s">
        <v>25</v>
      </c>
      <c r="F225" s="3" t="s">
        <v>25</v>
      </c>
      <c r="G225" s="3" t="s">
        <v>25</v>
      </c>
      <c r="H225" s="3" t="s">
        <v>25</v>
      </c>
      <c r="I225" s="6">
        <v>44440</v>
      </c>
      <c r="J225" s="4">
        <v>0</v>
      </c>
      <c r="K225" s="4">
        <v>0</v>
      </c>
      <c r="L225" s="4">
        <v>1.986</v>
      </c>
      <c r="M225" s="4">
        <v>1.986</v>
      </c>
      <c r="N225" s="4">
        <v>1.986</v>
      </c>
      <c r="O225" s="4">
        <v>1.986</v>
      </c>
      <c r="P225" s="4">
        <v>17</v>
      </c>
      <c r="Q225" s="3" t="s">
        <v>26</v>
      </c>
      <c r="R225" s="3">
        <v>0</v>
      </c>
      <c r="S225" s="4">
        <v>0</v>
      </c>
      <c r="T225" s="4">
        <v>31</v>
      </c>
      <c r="U225" s="4">
        <v>69</v>
      </c>
      <c r="V225" s="4">
        <f>IF(ISERROR(VLOOKUP($S$225,'TAR FIN'!$A$1:$O$88,15,0)),0,VLOOKUP($S$225,'TAR FIN'!$A$1:$O$88,15,0))</f>
        <v>0</v>
      </c>
      <c r="W225" s="4">
        <f>IF(ISERROR(VLOOKUP($T$225,'TAR FIN'!$A$1:$O$88,15,0)),0,VLOOKUP($T$225,'TAR FIN'!$A$1:$O$88,15,0))</f>
        <v>269.45</v>
      </c>
      <c r="X225" s="4">
        <f>IF(ISERROR(VLOOKUP($U$225,'TAR FIN'!$A$1:$O$88,15,0)),0,VLOOKUP($U$225,'TAR FIN'!$A$1:$O$88,15,0))</f>
        <v>213.27</v>
      </c>
      <c r="Y225" s="4"/>
      <c r="Z225" s="4">
        <f ca="1">('TUSD BE'!$AM$33+'TUSD BF'!$AM$33+'TUSD CVA'!$AM$33)*(1-CUSTOS!$M$38)</f>
        <v>421.14033355107131</v>
      </c>
      <c r="AA225" s="4">
        <f>('TE BE'!$AB$23+'TE BF'!$AB$23+'TE CVA'!$AB$23)*(1-CUSTOS!$M$38)</f>
        <v>179.54706321936715</v>
      </c>
      <c r="AB225" s="4">
        <f>$K$225*$V$225</f>
        <v>0</v>
      </c>
      <c r="AC225" s="4">
        <f>$M$225*$W$225</f>
        <v>535.1277</v>
      </c>
      <c r="AD225" s="4">
        <f>$O$225*$X$225</f>
        <v>423.55422000000004</v>
      </c>
      <c r="AE225" s="4">
        <f>$K$225*$Y$225</f>
        <v>0</v>
      </c>
      <c r="AF225" s="4">
        <f ca="1">$M$225*$Z$225</f>
        <v>836.38470243242762</v>
      </c>
      <c r="AG225" s="4">
        <f>$O$225*$AA$225</f>
        <v>356.58046755366314</v>
      </c>
    </row>
    <row r="226" spans="1:33" ht="11.25" customHeight="1" x14ac:dyDescent="0.3">
      <c r="A226" s="3" t="s">
        <v>21</v>
      </c>
      <c r="B226" s="3" t="s">
        <v>42</v>
      </c>
      <c r="C226" s="3" t="s">
        <v>23</v>
      </c>
      <c r="D226" s="3" t="s">
        <v>43</v>
      </c>
      <c r="E226" s="3" t="s">
        <v>25</v>
      </c>
      <c r="F226" s="3" t="s">
        <v>25</v>
      </c>
      <c r="G226" s="3" t="s">
        <v>25</v>
      </c>
      <c r="H226" s="3" t="s">
        <v>25</v>
      </c>
      <c r="I226" s="6">
        <v>44470</v>
      </c>
      <c r="J226" s="4">
        <v>0</v>
      </c>
      <c r="K226" s="4">
        <v>0</v>
      </c>
      <c r="L226" s="4">
        <v>391.22899999999998</v>
      </c>
      <c r="M226" s="4">
        <v>391.22899999999998</v>
      </c>
      <c r="N226" s="4">
        <v>391.22899999999998</v>
      </c>
      <c r="O226" s="4">
        <v>391.22899999999998</v>
      </c>
      <c r="P226" s="4">
        <v>1640</v>
      </c>
      <c r="Q226" s="3" t="s">
        <v>26</v>
      </c>
      <c r="R226" s="3">
        <v>0</v>
      </c>
      <c r="S226" s="4">
        <v>0</v>
      </c>
      <c r="T226" s="4">
        <v>31</v>
      </c>
      <c r="U226" s="4">
        <v>69</v>
      </c>
      <c r="V226" s="4">
        <f>IF(ISERROR(VLOOKUP($S$226,'TAR FIN'!$A$1:$O$88,15,0)),0,VLOOKUP($S$226,'TAR FIN'!$A$1:$O$88,15,0))</f>
        <v>0</v>
      </c>
      <c r="W226" s="4">
        <f>IF(ISERROR(VLOOKUP($T$226,'TAR FIN'!$A$1:$O$88,15,0)),0,VLOOKUP($T$226,'TAR FIN'!$A$1:$O$88,15,0))</f>
        <v>269.45</v>
      </c>
      <c r="X226" s="4">
        <f>IF(ISERROR(VLOOKUP($U$226,'TAR FIN'!$A$1:$O$88,15,0)),0,VLOOKUP($U$226,'TAR FIN'!$A$1:$O$88,15,0))</f>
        <v>213.27</v>
      </c>
      <c r="Y226" s="4"/>
      <c r="Z226" s="4">
        <f ca="1">('TUSD BE'!$AM$33+'TUSD BF'!$AM$33+'TUSD CVA'!$AM$33)*(1-CUSTOS!$M$38)</f>
        <v>421.14033355107131</v>
      </c>
      <c r="AA226" s="4">
        <f>('TE BE'!$AB$23+'TE BF'!$AB$23+'TE CVA'!$AB$23)*(1-CUSTOS!$M$38)</f>
        <v>179.54706321936715</v>
      </c>
      <c r="AB226" s="4">
        <f>$K$226*$V$226</f>
        <v>0</v>
      </c>
      <c r="AC226" s="4">
        <f>$M$226*$W$226</f>
        <v>105416.65405</v>
      </c>
      <c r="AD226" s="4">
        <f>$O$226*$X$226</f>
        <v>83437.40883</v>
      </c>
      <c r="AE226" s="4">
        <f>$K$226*$Y$226</f>
        <v>0</v>
      </c>
      <c r="AF226" s="4">
        <f ca="1">$M$226*$Z$226</f>
        <v>164762.31155485206</v>
      </c>
      <c r="AG226" s="4">
        <f>$O$226*$AA$226</f>
        <v>70244.017996249793</v>
      </c>
    </row>
    <row r="227" spans="1:33" ht="11.25" customHeight="1" x14ac:dyDescent="0.3">
      <c r="A227" s="3" t="s">
        <v>27</v>
      </c>
      <c r="B227" s="3" t="s">
        <v>42</v>
      </c>
      <c r="C227" s="3" t="s">
        <v>23</v>
      </c>
      <c r="D227" s="3" t="s">
        <v>43</v>
      </c>
      <c r="E227" s="3" t="s">
        <v>25</v>
      </c>
      <c r="F227" s="3" t="s">
        <v>25</v>
      </c>
      <c r="G227" s="3" t="s">
        <v>25</v>
      </c>
      <c r="H227" s="3" t="s">
        <v>25</v>
      </c>
      <c r="I227" s="6">
        <v>44470</v>
      </c>
      <c r="J227" s="4">
        <v>0</v>
      </c>
      <c r="K227" s="4">
        <v>0</v>
      </c>
      <c r="L227" s="4">
        <v>-0.153</v>
      </c>
      <c r="M227" s="4">
        <v>-0.153</v>
      </c>
      <c r="N227" s="4">
        <v>-0.153</v>
      </c>
      <c r="O227" s="4">
        <v>-0.153</v>
      </c>
      <c r="P227" s="4">
        <v>0</v>
      </c>
      <c r="Q227" s="3" t="s">
        <v>26</v>
      </c>
      <c r="R227" s="3">
        <v>0</v>
      </c>
      <c r="S227" s="4">
        <v>0</v>
      </c>
      <c r="T227" s="4">
        <v>31</v>
      </c>
      <c r="U227" s="4">
        <v>69</v>
      </c>
      <c r="V227" s="4">
        <f>IF(ISERROR(VLOOKUP($S$227,'TAR FIN'!$A$1:$O$88,15,0)),0,VLOOKUP($S$227,'TAR FIN'!$A$1:$O$88,15,0))</f>
        <v>0</v>
      </c>
      <c r="W227" s="4">
        <f>IF(ISERROR(VLOOKUP($T$227,'TAR FIN'!$A$1:$O$88,15,0)),0,VLOOKUP($T$227,'TAR FIN'!$A$1:$O$88,15,0))</f>
        <v>269.45</v>
      </c>
      <c r="X227" s="4">
        <f>IF(ISERROR(VLOOKUP($U$227,'TAR FIN'!$A$1:$O$88,15,0)),0,VLOOKUP($U$227,'TAR FIN'!$A$1:$O$88,15,0))</f>
        <v>213.27</v>
      </c>
      <c r="Y227" s="4"/>
      <c r="Z227" s="4">
        <f ca="1">('TUSD BE'!$AM$33+'TUSD BF'!$AM$33+'TUSD CVA'!$AM$33)*(1-CUSTOS!$M$38)</f>
        <v>421.14033355107131</v>
      </c>
      <c r="AA227" s="4">
        <f>('TE BE'!$AB$23+'TE BF'!$AB$23+'TE CVA'!$AB$23)*(1-CUSTOS!$M$38)</f>
        <v>179.54706321936715</v>
      </c>
      <c r="AB227" s="4">
        <f>$K$227*$V$227</f>
        <v>0</v>
      </c>
      <c r="AC227" s="4">
        <f>$M$227*$W$227</f>
        <v>-41.225849999999994</v>
      </c>
      <c r="AD227" s="4">
        <f>$O$227*$X$227</f>
        <v>-32.630310000000001</v>
      </c>
      <c r="AE227" s="4">
        <f>$K$227*$Y$227</f>
        <v>0</v>
      </c>
      <c r="AF227" s="4">
        <f ca="1">$M$227*$Z$227</f>
        <v>-64.434471033313912</v>
      </c>
      <c r="AG227" s="4">
        <f>$O$227*$AA$227</f>
        <v>-27.470700672563172</v>
      </c>
    </row>
    <row r="228" spans="1:33" ht="11.25" customHeight="1" x14ac:dyDescent="0.3">
      <c r="A228" s="3" t="s">
        <v>28</v>
      </c>
      <c r="B228" s="3" t="s">
        <v>42</v>
      </c>
      <c r="C228" s="3" t="s">
        <v>23</v>
      </c>
      <c r="D228" s="3" t="s">
        <v>43</v>
      </c>
      <c r="E228" s="3" t="s">
        <v>25</v>
      </c>
      <c r="F228" s="3" t="s">
        <v>25</v>
      </c>
      <c r="G228" s="3" t="s">
        <v>25</v>
      </c>
      <c r="H228" s="3" t="s">
        <v>25</v>
      </c>
      <c r="I228" s="6">
        <v>44470</v>
      </c>
      <c r="J228" s="4">
        <v>0</v>
      </c>
      <c r="K228" s="4">
        <v>0</v>
      </c>
      <c r="L228" s="4">
        <v>2.456</v>
      </c>
      <c r="M228" s="4">
        <v>2.456</v>
      </c>
      <c r="N228" s="4">
        <v>2.456</v>
      </c>
      <c r="O228" s="4">
        <v>2.456</v>
      </c>
      <c r="P228" s="4">
        <v>18</v>
      </c>
      <c r="Q228" s="3" t="s">
        <v>26</v>
      </c>
      <c r="R228" s="3">
        <v>0</v>
      </c>
      <c r="S228" s="4">
        <v>0</v>
      </c>
      <c r="T228" s="4">
        <v>31</v>
      </c>
      <c r="U228" s="4">
        <v>69</v>
      </c>
      <c r="V228" s="4">
        <f>IF(ISERROR(VLOOKUP($S$228,'TAR FIN'!$A$1:$O$88,15,0)),0,VLOOKUP($S$228,'TAR FIN'!$A$1:$O$88,15,0))</f>
        <v>0</v>
      </c>
      <c r="W228" s="4">
        <f>IF(ISERROR(VLOOKUP($T$228,'TAR FIN'!$A$1:$O$88,15,0)),0,VLOOKUP($T$228,'TAR FIN'!$A$1:$O$88,15,0))</f>
        <v>269.45</v>
      </c>
      <c r="X228" s="4">
        <f>IF(ISERROR(VLOOKUP($U$228,'TAR FIN'!$A$1:$O$88,15,0)),0,VLOOKUP($U$228,'TAR FIN'!$A$1:$O$88,15,0))</f>
        <v>213.27</v>
      </c>
      <c r="Y228" s="4"/>
      <c r="Z228" s="4">
        <f ca="1">('TUSD BE'!$AM$33+'TUSD BF'!$AM$33+'TUSD CVA'!$AM$33)*(1-CUSTOS!$M$38)</f>
        <v>421.14033355107131</v>
      </c>
      <c r="AA228" s="4">
        <f>('TE BE'!$AB$23+'TE BF'!$AB$23+'TE CVA'!$AB$23)*(1-CUSTOS!$M$38)</f>
        <v>179.54706321936715</v>
      </c>
      <c r="AB228" s="4">
        <f>$K$228*$V$228</f>
        <v>0</v>
      </c>
      <c r="AC228" s="4">
        <f>$M$228*$W$228</f>
        <v>661.76919999999996</v>
      </c>
      <c r="AD228" s="4">
        <f>$O$228*$X$228</f>
        <v>523.79111999999998</v>
      </c>
      <c r="AE228" s="4">
        <f>$K$228*$Y$228</f>
        <v>0</v>
      </c>
      <c r="AF228" s="4">
        <f ca="1">$M$228*$Z$228</f>
        <v>1034.3206592014312</v>
      </c>
      <c r="AG228" s="4">
        <f>$O$228*$AA$228</f>
        <v>440.96758726676569</v>
      </c>
    </row>
    <row r="229" spans="1:33" ht="11.25" customHeight="1" x14ac:dyDescent="0.3">
      <c r="A229" s="3" t="s">
        <v>21</v>
      </c>
      <c r="B229" s="3" t="s">
        <v>42</v>
      </c>
      <c r="C229" s="3" t="s">
        <v>23</v>
      </c>
      <c r="D229" s="3" t="s">
        <v>43</v>
      </c>
      <c r="E229" s="3" t="s">
        <v>25</v>
      </c>
      <c r="F229" s="3" t="s">
        <v>25</v>
      </c>
      <c r="G229" s="3" t="s">
        <v>25</v>
      </c>
      <c r="H229" s="3" t="s">
        <v>25</v>
      </c>
      <c r="I229" s="6">
        <v>44501</v>
      </c>
      <c r="J229" s="4">
        <v>0</v>
      </c>
      <c r="K229" s="4">
        <v>0</v>
      </c>
      <c r="L229" s="4">
        <v>501.84</v>
      </c>
      <c r="M229" s="4">
        <v>501.84</v>
      </c>
      <c r="N229" s="4">
        <v>501.84</v>
      </c>
      <c r="O229" s="4">
        <v>501.84</v>
      </c>
      <c r="P229" s="4">
        <v>1656</v>
      </c>
      <c r="Q229" s="3" t="s">
        <v>26</v>
      </c>
      <c r="R229" s="3">
        <v>0</v>
      </c>
      <c r="S229" s="4">
        <v>0</v>
      </c>
      <c r="T229" s="4">
        <v>31</v>
      </c>
      <c r="U229" s="4">
        <v>69</v>
      </c>
      <c r="V229" s="4">
        <f>IF(ISERROR(VLOOKUP($S$229,'TAR FIN'!$A$1:$O$88,15,0)),0,VLOOKUP($S$229,'TAR FIN'!$A$1:$O$88,15,0))</f>
        <v>0</v>
      </c>
      <c r="W229" s="4">
        <f>IF(ISERROR(VLOOKUP($T$229,'TAR FIN'!$A$1:$O$88,15,0)),0,VLOOKUP($T$229,'TAR FIN'!$A$1:$O$88,15,0))</f>
        <v>269.45</v>
      </c>
      <c r="X229" s="4">
        <f>IF(ISERROR(VLOOKUP($U$229,'TAR FIN'!$A$1:$O$88,15,0)),0,VLOOKUP($U$229,'TAR FIN'!$A$1:$O$88,15,0))</f>
        <v>213.27</v>
      </c>
      <c r="Y229" s="4"/>
      <c r="Z229" s="4">
        <f ca="1">('TUSD BE'!$AM$33+'TUSD BF'!$AM$33+'TUSD CVA'!$AM$33)*(1-CUSTOS!$M$38)</f>
        <v>421.14033355107131</v>
      </c>
      <c r="AA229" s="4">
        <f>('TE BE'!$AB$23+'TE BF'!$AB$23+'TE CVA'!$AB$23)*(1-CUSTOS!$M$38)</f>
        <v>179.54706321936715</v>
      </c>
      <c r="AB229" s="4">
        <f>$K$229*$V$229</f>
        <v>0</v>
      </c>
      <c r="AC229" s="4">
        <f>$M$229*$W$229</f>
        <v>135220.788</v>
      </c>
      <c r="AD229" s="4">
        <f>$O$229*$X$229</f>
        <v>107027.41680000001</v>
      </c>
      <c r="AE229" s="4">
        <f>$K$229*$Y$229</f>
        <v>0</v>
      </c>
      <c r="AF229" s="4">
        <f ca="1">$M$229*$Z$229</f>
        <v>211345.06498926962</v>
      </c>
      <c r="AG229" s="4">
        <f>$O$229*$AA$229</f>
        <v>90103.898206007201</v>
      </c>
    </row>
    <row r="230" spans="1:33" ht="11.25" customHeight="1" x14ac:dyDescent="0.3">
      <c r="A230" s="3" t="s">
        <v>28</v>
      </c>
      <c r="B230" s="3" t="s">
        <v>42</v>
      </c>
      <c r="C230" s="3" t="s">
        <v>23</v>
      </c>
      <c r="D230" s="3" t="s">
        <v>43</v>
      </c>
      <c r="E230" s="3" t="s">
        <v>25</v>
      </c>
      <c r="F230" s="3" t="s">
        <v>25</v>
      </c>
      <c r="G230" s="3" t="s">
        <v>25</v>
      </c>
      <c r="H230" s="3" t="s">
        <v>25</v>
      </c>
      <c r="I230" s="6">
        <v>44501</v>
      </c>
      <c r="J230" s="4">
        <v>0</v>
      </c>
      <c r="K230" s="4">
        <v>0</v>
      </c>
      <c r="L230" s="4">
        <v>6.399</v>
      </c>
      <c r="M230" s="4">
        <v>6.399</v>
      </c>
      <c r="N230" s="4">
        <v>6.399</v>
      </c>
      <c r="O230" s="4">
        <v>6.399</v>
      </c>
      <c r="P230" s="4">
        <v>21</v>
      </c>
      <c r="Q230" s="3" t="s">
        <v>26</v>
      </c>
      <c r="R230" s="3">
        <v>0</v>
      </c>
      <c r="S230" s="4">
        <v>0</v>
      </c>
      <c r="T230" s="4">
        <v>31</v>
      </c>
      <c r="U230" s="4">
        <v>69</v>
      </c>
      <c r="V230" s="4">
        <f>IF(ISERROR(VLOOKUP($S$230,'TAR FIN'!$A$1:$O$88,15,0)),0,VLOOKUP($S$230,'TAR FIN'!$A$1:$O$88,15,0))</f>
        <v>0</v>
      </c>
      <c r="W230" s="4">
        <f>IF(ISERROR(VLOOKUP($T$230,'TAR FIN'!$A$1:$O$88,15,0)),0,VLOOKUP($T$230,'TAR FIN'!$A$1:$O$88,15,0))</f>
        <v>269.45</v>
      </c>
      <c r="X230" s="4">
        <f>IF(ISERROR(VLOOKUP($U$230,'TAR FIN'!$A$1:$O$88,15,0)),0,VLOOKUP($U$230,'TAR FIN'!$A$1:$O$88,15,0))</f>
        <v>213.27</v>
      </c>
      <c r="Y230" s="4"/>
      <c r="Z230" s="4">
        <f ca="1">('TUSD BE'!$AM$33+'TUSD BF'!$AM$33+'TUSD CVA'!$AM$33)*(1-CUSTOS!$M$38)</f>
        <v>421.14033355107131</v>
      </c>
      <c r="AA230" s="4">
        <f>('TE BE'!$AB$23+'TE BF'!$AB$23+'TE CVA'!$AB$23)*(1-CUSTOS!$M$38)</f>
        <v>179.54706321936715</v>
      </c>
      <c r="AB230" s="4">
        <f>$K$230*$V$230</f>
        <v>0</v>
      </c>
      <c r="AC230" s="4">
        <f>$M$230*$W$230</f>
        <v>1724.21055</v>
      </c>
      <c r="AD230" s="4">
        <f>$O$230*$X$230</f>
        <v>1364.7147300000001</v>
      </c>
      <c r="AE230" s="4">
        <f>$K$230*$Y$230</f>
        <v>0</v>
      </c>
      <c r="AF230" s="4">
        <f ca="1">$M$230*$Z$230</f>
        <v>2694.8769943933053</v>
      </c>
      <c r="AG230" s="4">
        <f>$O$230*$AA$230</f>
        <v>1148.9216575407304</v>
      </c>
    </row>
    <row r="231" spans="1:33" ht="11.25" customHeight="1" x14ac:dyDescent="0.3">
      <c r="A231" s="3" t="s">
        <v>21</v>
      </c>
      <c r="B231" s="3" t="s">
        <v>42</v>
      </c>
      <c r="C231" s="3" t="s">
        <v>23</v>
      </c>
      <c r="D231" s="3" t="s">
        <v>43</v>
      </c>
      <c r="E231" s="3" t="s">
        <v>25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530.64599999999996</v>
      </c>
      <c r="M231" s="4">
        <v>530.64599999999996</v>
      </c>
      <c r="N231" s="4">
        <v>530.64599999999996</v>
      </c>
      <c r="O231" s="4">
        <v>530.64599999999996</v>
      </c>
      <c r="P231" s="4">
        <v>1664</v>
      </c>
      <c r="Q231" s="3" t="s">
        <v>26</v>
      </c>
      <c r="R231" s="3">
        <v>0</v>
      </c>
      <c r="S231" s="4">
        <v>0</v>
      </c>
      <c r="T231" s="4">
        <v>31</v>
      </c>
      <c r="U231" s="4">
        <v>69</v>
      </c>
      <c r="V231" s="4">
        <f>IF(ISERROR(VLOOKUP($S$231,'TAR FIN'!$A$1:$O$88,15,0)),0,VLOOKUP($S$231,'TAR FIN'!$A$1:$O$88,15,0))</f>
        <v>0</v>
      </c>
      <c r="W231" s="4">
        <f>IF(ISERROR(VLOOKUP($T$231,'TAR FIN'!$A$1:$O$88,15,0)),0,VLOOKUP($T$231,'TAR FIN'!$A$1:$O$88,15,0))</f>
        <v>269.45</v>
      </c>
      <c r="X231" s="4">
        <f>IF(ISERROR(VLOOKUP($U$231,'TAR FIN'!$A$1:$O$88,15,0)),0,VLOOKUP($U$231,'TAR FIN'!$A$1:$O$88,15,0))</f>
        <v>213.27</v>
      </c>
      <c r="Y231" s="4"/>
      <c r="Z231" s="4">
        <f ca="1">('TUSD BE'!$AM$33+'TUSD BF'!$AM$33+'TUSD CVA'!$AM$33)*(1-CUSTOS!$M$38)</f>
        <v>421.14033355107131</v>
      </c>
      <c r="AA231" s="4">
        <f>('TE BE'!$AB$23+'TE BF'!$AB$23+'TE CVA'!$AB$23)*(1-CUSTOS!$M$38)</f>
        <v>179.54706321936715</v>
      </c>
      <c r="AB231" s="4">
        <f>$K$231*$V$231</f>
        <v>0</v>
      </c>
      <c r="AC231" s="4">
        <f>$M$231*$W$231</f>
        <v>142982.56469999999</v>
      </c>
      <c r="AD231" s="4">
        <f>$O$231*$X$231</f>
        <v>113170.87242</v>
      </c>
      <c r="AE231" s="4">
        <f>$K$231*$Y$231</f>
        <v>0</v>
      </c>
      <c r="AF231" s="4">
        <f ca="1">$M$231*$Z$231</f>
        <v>223476.43343754177</v>
      </c>
      <c r="AG231" s="4">
        <f>$O$231*$AA$231</f>
        <v>95275.930909104296</v>
      </c>
    </row>
    <row r="232" spans="1:33" ht="11.25" customHeight="1" x14ac:dyDescent="0.3">
      <c r="A232" s="3" t="s">
        <v>27</v>
      </c>
      <c r="B232" s="3" t="s">
        <v>42</v>
      </c>
      <c r="C232" s="3" t="s">
        <v>23</v>
      </c>
      <c r="D232" s="3" t="s">
        <v>43</v>
      </c>
      <c r="E232" s="3" t="s">
        <v>25</v>
      </c>
      <c r="F232" s="3" t="s">
        <v>25</v>
      </c>
      <c r="G232" s="3" t="s">
        <v>25</v>
      </c>
      <c r="H232" s="3" t="s">
        <v>25</v>
      </c>
      <c r="I232" s="6">
        <v>44531</v>
      </c>
      <c r="J232" s="4">
        <v>0</v>
      </c>
      <c r="K232" s="4">
        <v>0</v>
      </c>
      <c r="L232" s="4">
        <v>-0.61599999999999999</v>
      </c>
      <c r="M232" s="4">
        <v>-0.61599999999999999</v>
      </c>
      <c r="N232" s="4">
        <v>-0.61599999999999999</v>
      </c>
      <c r="O232" s="4">
        <v>-0.61599999999999999</v>
      </c>
      <c r="P232" s="4">
        <v>0</v>
      </c>
      <c r="Q232" s="3" t="s">
        <v>26</v>
      </c>
      <c r="R232" s="3">
        <v>0</v>
      </c>
      <c r="S232" s="4">
        <v>0</v>
      </c>
      <c r="T232" s="4">
        <v>31</v>
      </c>
      <c r="U232" s="4">
        <v>69</v>
      </c>
      <c r="V232" s="4">
        <f>IF(ISERROR(VLOOKUP($S$232,'TAR FIN'!$A$1:$O$88,15,0)),0,VLOOKUP($S$232,'TAR FIN'!$A$1:$O$88,15,0))</f>
        <v>0</v>
      </c>
      <c r="W232" s="4">
        <f>IF(ISERROR(VLOOKUP($T$232,'TAR FIN'!$A$1:$O$88,15,0)),0,VLOOKUP($T$232,'TAR FIN'!$A$1:$O$88,15,0))</f>
        <v>269.45</v>
      </c>
      <c r="X232" s="4">
        <f>IF(ISERROR(VLOOKUP($U$232,'TAR FIN'!$A$1:$O$88,15,0)),0,VLOOKUP($U$232,'TAR FIN'!$A$1:$O$88,15,0))</f>
        <v>213.27</v>
      </c>
      <c r="Y232" s="4"/>
      <c r="Z232" s="4">
        <f ca="1">('TUSD BE'!$AM$33+'TUSD BF'!$AM$33+'TUSD CVA'!$AM$33)*(1-CUSTOS!$M$38)</f>
        <v>421.14033355107131</v>
      </c>
      <c r="AA232" s="4">
        <f>('TE BE'!$AB$23+'TE BF'!$AB$23+'TE CVA'!$AB$23)*(1-CUSTOS!$M$38)</f>
        <v>179.54706321936715</v>
      </c>
      <c r="AB232" s="4">
        <f>$K$232*$V$232</f>
        <v>0</v>
      </c>
      <c r="AC232" s="4">
        <f>$M$232*$W$232</f>
        <v>-165.9812</v>
      </c>
      <c r="AD232" s="4">
        <f>$O$232*$X$232</f>
        <v>-131.37432000000001</v>
      </c>
      <c r="AE232" s="4">
        <f>$K$232*$Y$232</f>
        <v>0</v>
      </c>
      <c r="AF232" s="4">
        <f ca="1">$M$232*$Z$232</f>
        <v>-259.42244546745991</v>
      </c>
      <c r="AG232" s="4">
        <f>$O$232*$AA$232</f>
        <v>-110.60099094313016</v>
      </c>
    </row>
    <row r="233" spans="1:33" ht="11.25" customHeight="1" x14ac:dyDescent="0.3">
      <c r="A233" s="3" t="s">
        <v>28</v>
      </c>
      <c r="B233" s="3" t="s">
        <v>42</v>
      </c>
      <c r="C233" s="3" t="s">
        <v>23</v>
      </c>
      <c r="D233" s="3" t="s">
        <v>43</v>
      </c>
      <c r="E233" s="3" t="s">
        <v>25</v>
      </c>
      <c r="F233" s="3" t="s">
        <v>25</v>
      </c>
      <c r="G233" s="3" t="s">
        <v>25</v>
      </c>
      <c r="H233" s="3" t="s">
        <v>25</v>
      </c>
      <c r="I233" s="6">
        <v>44531</v>
      </c>
      <c r="J233" s="4">
        <v>0</v>
      </c>
      <c r="K233" s="4">
        <v>0</v>
      </c>
      <c r="L233" s="4">
        <v>11.766</v>
      </c>
      <c r="M233" s="4">
        <v>11.766</v>
      </c>
      <c r="N233" s="4">
        <v>11.766</v>
      </c>
      <c r="O233" s="4">
        <v>11.766</v>
      </c>
      <c r="P233" s="4">
        <v>21</v>
      </c>
      <c r="Q233" s="3" t="s">
        <v>26</v>
      </c>
      <c r="R233" s="3">
        <v>0</v>
      </c>
      <c r="S233" s="4">
        <v>0</v>
      </c>
      <c r="T233" s="4">
        <v>31</v>
      </c>
      <c r="U233" s="4">
        <v>69</v>
      </c>
      <c r="V233" s="4">
        <f>IF(ISERROR(VLOOKUP($S$233,'TAR FIN'!$A$1:$O$88,15,0)),0,VLOOKUP($S$233,'TAR FIN'!$A$1:$O$88,15,0))</f>
        <v>0</v>
      </c>
      <c r="W233" s="4">
        <f>IF(ISERROR(VLOOKUP($T$233,'TAR FIN'!$A$1:$O$88,15,0)),0,VLOOKUP($T$233,'TAR FIN'!$A$1:$O$88,15,0))</f>
        <v>269.45</v>
      </c>
      <c r="X233" s="4">
        <f>IF(ISERROR(VLOOKUP($U$233,'TAR FIN'!$A$1:$O$88,15,0)),0,VLOOKUP($U$233,'TAR FIN'!$A$1:$O$88,15,0))</f>
        <v>213.27</v>
      </c>
      <c r="Y233" s="4"/>
      <c r="Z233" s="4">
        <f ca="1">('TUSD BE'!$AM$33+'TUSD BF'!$AM$33+'TUSD CVA'!$AM$33)*(1-CUSTOS!$M$38)</f>
        <v>421.14033355107131</v>
      </c>
      <c r="AA233" s="4">
        <f>('TE BE'!$AB$23+'TE BF'!$AB$23+'TE CVA'!$AB$23)*(1-CUSTOS!$M$38)</f>
        <v>179.54706321936715</v>
      </c>
      <c r="AB233" s="4">
        <f>$K$233*$V$233</f>
        <v>0</v>
      </c>
      <c r="AC233" s="4">
        <f>$M$233*$W$233</f>
        <v>3170.3487</v>
      </c>
      <c r="AD233" s="4">
        <f>$O$233*$X$233</f>
        <v>2509.33482</v>
      </c>
      <c r="AE233" s="4">
        <f>$K$233*$Y$233</f>
        <v>0</v>
      </c>
      <c r="AF233" s="4">
        <f ca="1">$M$233*$Z$233</f>
        <v>4955.1371645619047</v>
      </c>
      <c r="AG233" s="4">
        <f>$O$233*$AA$233</f>
        <v>2112.5507458390739</v>
      </c>
    </row>
    <row r="234" spans="1:33" ht="11.25" customHeight="1" x14ac:dyDescent="0.3">
      <c r="A234" s="3" t="s">
        <v>21</v>
      </c>
      <c r="B234" s="3" t="s">
        <v>42</v>
      </c>
      <c r="C234" s="3" t="s">
        <v>23</v>
      </c>
      <c r="D234" s="3" t="s">
        <v>43</v>
      </c>
      <c r="E234" s="3" t="s">
        <v>25</v>
      </c>
      <c r="F234" s="3" t="s">
        <v>25</v>
      </c>
      <c r="G234" s="3" t="s">
        <v>25</v>
      </c>
      <c r="H234" s="3" t="s">
        <v>25</v>
      </c>
      <c r="I234" s="6">
        <v>44562</v>
      </c>
      <c r="J234" s="4">
        <v>0</v>
      </c>
      <c r="K234" s="4">
        <v>0</v>
      </c>
      <c r="L234" s="4">
        <v>526.49800000000005</v>
      </c>
      <c r="M234" s="4">
        <v>526.49800000000005</v>
      </c>
      <c r="N234" s="4">
        <v>526.49800000000005</v>
      </c>
      <c r="O234" s="4">
        <v>526.49800000000005</v>
      </c>
      <c r="P234" s="4">
        <v>1665</v>
      </c>
      <c r="Q234" s="3" t="s">
        <v>26</v>
      </c>
      <c r="R234" s="3">
        <v>0</v>
      </c>
      <c r="S234" s="4">
        <v>0</v>
      </c>
      <c r="T234" s="4">
        <v>31</v>
      </c>
      <c r="U234" s="4">
        <v>69</v>
      </c>
      <c r="V234" s="4">
        <f>IF(ISERROR(VLOOKUP($S$234,'TAR FIN'!$A$1:$O$88,15,0)),0,VLOOKUP($S$234,'TAR FIN'!$A$1:$O$88,15,0))</f>
        <v>0</v>
      </c>
      <c r="W234" s="4">
        <f>IF(ISERROR(VLOOKUP($T$234,'TAR FIN'!$A$1:$O$88,15,0)),0,VLOOKUP($T$234,'TAR FIN'!$A$1:$O$88,15,0))</f>
        <v>269.45</v>
      </c>
      <c r="X234" s="4">
        <f>IF(ISERROR(VLOOKUP($U$234,'TAR FIN'!$A$1:$O$88,15,0)),0,VLOOKUP($U$234,'TAR FIN'!$A$1:$O$88,15,0))</f>
        <v>213.27</v>
      </c>
      <c r="Y234" s="4"/>
      <c r="Z234" s="4">
        <f ca="1">('TUSD BE'!$AM$33+'TUSD BF'!$AM$33+'TUSD CVA'!$AM$33)*(1-CUSTOS!$M$38)</f>
        <v>421.14033355107131</v>
      </c>
      <c r="AA234" s="4">
        <f>('TE BE'!$AB$23+'TE BF'!$AB$23+'TE CVA'!$AB$23)*(1-CUSTOS!$M$38)</f>
        <v>179.54706321936715</v>
      </c>
      <c r="AB234" s="4">
        <f>$K$234*$V$234</f>
        <v>0</v>
      </c>
      <c r="AC234" s="4">
        <f>$M$234*$W$234</f>
        <v>141864.8861</v>
      </c>
      <c r="AD234" s="4">
        <f>$O$234*$X$234</f>
        <v>112286.22846000001</v>
      </c>
      <c r="AE234" s="4">
        <f>$K$234*$Y$234</f>
        <v>0</v>
      </c>
      <c r="AF234" s="4">
        <f ca="1">$M$234*$Z$234</f>
        <v>221729.54333397196</v>
      </c>
      <c r="AG234" s="4">
        <f>$O$234*$AA$234</f>
        <v>94531.169690870374</v>
      </c>
    </row>
    <row r="235" spans="1:33" ht="11.25" customHeight="1" x14ac:dyDescent="0.3">
      <c r="A235" s="3" t="s">
        <v>27</v>
      </c>
      <c r="B235" s="3" t="s">
        <v>42</v>
      </c>
      <c r="C235" s="3" t="s">
        <v>23</v>
      </c>
      <c r="D235" s="3" t="s">
        <v>43</v>
      </c>
      <c r="E235" s="3" t="s">
        <v>25</v>
      </c>
      <c r="F235" s="3" t="s">
        <v>25</v>
      </c>
      <c r="G235" s="3" t="s">
        <v>25</v>
      </c>
      <c r="H235" s="3" t="s">
        <v>25</v>
      </c>
      <c r="I235" s="6">
        <v>44562</v>
      </c>
      <c r="J235" s="4">
        <v>0</v>
      </c>
      <c r="K235" s="4">
        <v>0</v>
      </c>
      <c r="L235" s="4">
        <v>-0.33300000000000002</v>
      </c>
      <c r="M235" s="4">
        <v>-0.33300000000000002</v>
      </c>
      <c r="N235" s="4">
        <v>-0.33300000000000002</v>
      </c>
      <c r="O235" s="4">
        <v>-0.33300000000000002</v>
      </c>
      <c r="P235" s="4">
        <v>0</v>
      </c>
      <c r="Q235" s="3" t="s">
        <v>26</v>
      </c>
      <c r="R235" s="3">
        <v>0</v>
      </c>
      <c r="S235" s="4">
        <v>0</v>
      </c>
      <c r="T235" s="4">
        <v>31</v>
      </c>
      <c r="U235" s="4">
        <v>69</v>
      </c>
      <c r="V235" s="4">
        <f>IF(ISERROR(VLOOKUP($S$235,'TAR FIN'!$A$1:$O$88,15,0)),0,VLOOKUP($S$235,'TAR FIN'!$A$1:$O$88,15,0))</f>
        <v>0</v>
      </c>
      <c r="W235" s="4">
        <f>IF(ISERROR(VLOOKUP($T$235,'TAR FIN'!$A$1:$O$88,15,0)),0,VLOOKUP($T$235,'TAR FIN'!$A$1:$O$88,15,0))</f>
        <v>269.45</v>
      </c>
      <c r="X235" s="4">
        <f>IF(ISERROR(VLOOKUP($U$235,'TAR FIN'!$A$1:$O$88,15,0)),0,VLOOKUP($U$235,'TAR FIN'!$A$1:$O$88,15,0))</f>
        <v>213.27</v>
      </c>
      <c r="Y235" s="4"/>
      <c r="Z235" s="4">
        <f ca="1">('TUSD BE'!$AM$33+'TUSD BF'!$AM$33+'TUSD CVA'!$AM$33)*(1-CUSTOS!$M$38)</f>
        <v>421.14033355107131</v>
      </c>
      <c r="AA235" s="4">
        <f>('TE BE'!$AB$23+'TE BF'!$AB$23+'TE CVA'!$AB$23)*(1-CUSTOS!$M$38)</f>
        <v>179.54706321936715</v>
      </c>
      <c r="AB235" s="4">
        <f>$K$235*$V$235</f>
        <v>0</v>
      </c>
      <c r="AC235" s="4">
        <f>$M$235*$W$235</f>
        <v>-89.726849999999999</v>
      </c>
      <c r="AD235" s="4">
        <f>$O$235*$X$235</f>
        <v>-71.018910000000005</v>
      </c>
      <c r="AE235" s="4">
        <f>$K$235*$Y$235</f>
        <v>0</v>
      </c>
      <c r="AF235" s="4">
        <f ca="1">$M$235*$Z$235</f>
        <v>-140.23973107250674</v>
      </c>
      <c r="AG235" s="4">
        <f>$O$235*$AA$235</f>
        <v>-59.78917205204926</v>
      </c>
    </row>
    <row r="236" spans="1:33" ht="11.25" customHeight="1" x14ac:dyDescent="0.3">
      <c r="A236" s="3" t="s">
        <v>28</v>
      </c>
      <c r="B236" s="3" t="s">
        <v>42</v>
      </c>
      <c r="C236" s="3" t="s">
        <v>23</v>
      </c>
      <c r="D236" s="3" t="s">
        <v>43</v>
      </c>
      <c r="E236" s="3" t="s">
        <v>25</v>
      </c>
      <c r="F236" s="3" t="s">
        <v>25</v>
      </c>
      <c r="G236" s="3" t="s">
        <v>25</v>
      </c>
      <c r="H236" s="3" t="s">
        <v>25</v>
      </c>
      <c r="I236" s="6">
        <v>44562</v>
      </c>
      <c r="J236" s="4">
        <v>0</v>
      </c>
      <c r="K236" s="4">
        <v>0</v>
      </c>
      <c r="L236" s="4">
        <v>6.0789999999999997</v>
      </c>
      <c r="M236" s="4">
        <v>6.0789999999999997</v>
      </c>
      <c r="N236" s="4">
        <v>6.0789999999999997</v>
      </c>
      <c r="O236" s="4">
        <v>6.0789999999999997</v>
      </c>
      <c r="P236" s="4">
        <v>22</v>
      </c>
      <c r="Q236" s="3" t="s">
        <v>26</v>
      </c>
      <c r="R236" s="3">
        <v>0</v>
      </c>
      <c r="S236" s="4">
        <v>0</v>
      </c>
      <c r="T236" s="4">
        <v>31</v>
      </c>
      <c r="U236" s="4">
        <v>69</v>
      </c>
      <c r="V236" s="4">
        <f>IF(ISERROR(VLOOKUP($S$236,'TAR FIN'!$A$1:$O$88,15,0)),0,VLOOKUP($S$236,'TAR FIN'!$A$1:$O$88,15,0))</f>
        <v>0</v>
      </c>
      <c r="W236" s="4">
        <f>IF(ISERROR(VLOOKUP($T$236,'TAR FIN'!$A$1:$O$88,15,0)),0,VLOOKUP($T$236,'TAR FIN'!$A$1:$O$88,15,0))</f>
        <v>269.45</v>
      </c>
      <c r="X236" s="4">
        <f>IF(ISERROR(VLOOKUP($U$236,'TAR FIN'!$A$1:$O$88,15,0)),0,VLOOKUP($U$236,'TAR FIN'!$A$1:$O$88,15,0))</f>
        <v>213.27</v>
      </c>
      <c r="Y236" s="4"/>
      <c r="Z236" s="4">
        <f ca="1">('TUSD BE'!$AM$33+'TUSD BF'!$AM$33+'TUSD CVA'!$AM$33)*(1-CUSTOS!$M$38)</f>
        <v>421.14033355107131</v>
      </c>
      <c r="AA236" s="4">
        <f>('TE BE'!$AB$23+'TE BF'!$AB$23+'TE CVA'!$AB$23)*(1-CUSTOS!$M$38)</f>
        <v>179.54706321936715</v>
      </c>
      <c r="AB236" s="4">
        <f>$K$236*$V$236</f>
        <v>0</v>
      </c>
      <c r="AC236" s="4">
        <f>$M$236*$W$236</f>
        <v>1637.9865499999999</v>
      </c>
      <c r="AD236" s="4">
        <f>$O$236*$X$236</f>
        <v>1296.4683299999999</v>
      </c>
      <c r="AE236" s="4">
        <f>$K$236*$Y$236</f>
        <v>0</v>
      </c>
      <c r="AF236" s="4">
        <f ca="1">$M$236*$Z$236</f>
        <v>2560.1120876569626</v>
      </c>
      <c r="AG236" s="4">
        <f>$O$236*$AA$236</f>
        <v>1091.4665973105327</v>
      </c>
    </row>
    <row r="237" spans="1:33" ht="11.25" customHeight="1" x14ac:dyDescent="0.3">
      <c r="A237" s="3" t="s">
        <v>21</v>
      </c>
      <c r="B237" s="3" t="s">
        <v>42</v>
      </c>
      <c r="C237" s="3" t="s">
        <v>23</v>
      </c>
      <c r="D237" s="3" t="s">
        <v>43</v>
      </c>
      <c r="E237" s="3" t="s">
        <v>25</v>
      </c>
      <c r="F237" s="3" t="s">
        <v>25</v>
      </c>
      <c r="G237" s="3" t="s">
        <v>25</v>
      </c>
      <c r="H237" s="3" t="s">
        <v>25</v>
      </c>
      <c r="I237" s="6">
        <v>44593</v>
      </c>
      <c r="J237" s="4">
        <v>0</v>
      </c>
      <c r="K237" s="4">
        <v>0</v>
      </c>
      <c r="L237" s="4">
        <v>527.05999999999995</v>
      </c>
      <c r="M237" s="4">
        <v>527.05999999999995</v>
      </c>
      <c r="N237" s="4">
        <v>527.05999999999995</v>
      </c>
      <c r="O237" s="4">
        <v>527.05999999999995</v>
      </c>
      <c r="P237" s="4">
        <v>1666</v>
      </c>
      <c r="Q237" s="3" t="s">
        <v>26</v>
      </c>
      <c r="R237" s="3">
        <v>0</v>
      </c>
      <c r="S237" s="4">
        <v>0</v>
      </c>
      <c r="T237" s="4">
        <v>31</v>
      </c>
      <c r="U237" s="4">
        <v>69</v>
      </c>
      <c r="V237" s="4">
        <f>IF(ISERROR(VLOOKUP($S$237,'TAR FIN'!$A$1:$O$88,15,0)),0,VLOOKUP($S$237,'TAR FIN'!$A$1:$O$88,15,0))</f>
        <v>0</v>
      </c>
      <c r="W237" s="4">
        <f>IF(ISERROR(VLOOKUP($T$237,'TAR FIN'!$A$1:$O$88,15,0)),0,VLOOKUP($T$237,'TAR FIN'!$A$1:$O$88,15,0))</f>
        <v>269.45</v>
      </c>
      <c r="X237" s="4">
        <f>IF(ISERROR(VLOOKUP($U$237,'TAR FIN'!$A$1:$O$88,15,0)),0,VLOOKUP($U$237,'TAR FIN'!$A$1:$O$88,15,0))</f>
        <v>213.27</v>
      </c>
      <c r="Y237" s="4"/>
      <c r="Z237" s="4">
        <f ca="1">('TUSD BE'!$AM$33+'TUSD BF'!$AM$33+'TUSD CVA'!$AM$33)*(1-CUSTOS!$M$38)</f>
        <v>421.14033355107131</v>
      </c>
      <c r="AA237" s="4">
        <f>('TE BE'!$AB$23+'TE BF'!$AB$23+'TE CVA'!$AB$23)*(1-CUSTOS!$M$38)</f>
        <v>179.54706321936715</v>
      </c>
      <c r="AB237" s="4">
        <f>$K$237*$V$237</f>
        <v>0</v>
      </c>
      <c r="AC237" s="4">
        <f>$M$237*$W$237</f>
        <v>142016.31699999998</v>
      </c>
      <c r="AD237" s="4">
        <f>$O$237*$X$237</f>
        <v>112406.08619999999</v>
      </c>
      <c r="AE237" s="4">
        <f>$K$237*$Y$237</f>
        <v>0</v>
      </c>
      <c r="AF237" s="4">
        <f ca="1">$M$237*$Z$237</f>
        <v>221966.22420142763</v>
      </c>
      <c r="AG237" s="4">
        <f>$O$237*$AA$237</f>
        <v>94632.07514039964</v>
      </c>
    </row>
    <row r="238" spans="1:33" ht="11.25" customHeight="1" x14ac:dyDescent="0.3">
      <c r="A238" s="3" t="s">
        <v>27</v>
      </c>
      <c r="B238" s="3" t="s">
        <v>42</v>
      </c>
      <c r="C238" s="3" t="s">
        <v>23</v>
      </c>
      <c r="D238" s="3" t="s">
        <v>43</v>
      </c>
      <c r="E238" s="3" t="s">
        <v>25</v>
      </c>
      <c r="F238" s="3" t="s">
        <v>25</v>
      </c>
      <c r="G238" s="3" t="s">
        <v>25</v>
      </c>
      <c r="H238" s="3" t="s">
        <v>25</v>
      </c>
      <c r="I238" s="6">
        <v>44593</v>
      </c>
      <c r="J238" s="4">
        <v>0</v>
      </c>
      <c r="K238" s="4">
        <v>0</v>
      </c>
      <c r="L238" s="4">
        <v>-2.5049999999999999</v>
      </c>
      <c r="M238" s="4">
        <v>-2.5049999999999999</v>
      </c>
      <c r="N238" s="4">
        <v>-2.5049999999999999</v>
      </c>
      <c r="O238" s="4">
        <v>-2.5049999999999999</v>
      </c>
      <c r="P238" s="4">
        <v>0</v>
      </c>
      <c r="Q238" s="3" t="s">
        <v>26</v>
      </c>
      <c r="R238" s="3">
        <v>0</v>
      </c>
      <c r="S238" s="4">
        <v>0</v>
      </c>
      <c r="T238" s="4">
        <v>31</v>
      </c>
      <c r="U238" s="4">
        <v>69</v>
      </c>
      <c r="V238" s="4">
        <f>IF(ISERROR(VLOOKUP($S$238,'TAR FIN'!$A$1:$O$88,15,0)),0,VLOOKUP($S$238,'TAR FIN'!$A$1:$O$88,15,0))</f>
        <v>0</v>
      </c>
      <c r="W238" s="4">
        <f>IF(ISERROR(VLOOKUP($T$238,'TAR FIN'!$A$1:$O$88,15,0)),0,VLOOKUP($T$238,'TAR FIN'!$A$1:$O$88,15,0))</f>
        <v>269.45</v>
      </c>
      <c r="X238" s="4">
        <f>IF(ISERROR(VLOOKUP($U$238,'TAR FIN'!$A$1:$O$88,15,0)),0,VLOOKUP($U$238,'TAR FIN'!$A$1:$O$88,15,0))</f>
        <v>213.27</v>
      </c>
      <c r="Y238" s="4"/>
      <c r="Z238" s="4">
        <f ca="1">('TUSD BE'!$AM$33+'TUSD BF'!$AM$33+'TUSD CVA'!$AM$33)*(1-CUSTOS!$M$38)</f>
        <v>421.14033355107131</v>
      </c>
      <c r="AA238" s="4">
        <f>('TE BE'!$AB$23+'TE BF'!$AB$23+'TE CVA'!$AB$23)*(1-CUSTOS!$M$38)</f>
        <v>179.54706321936715</v>
      </c>
      <c r="AB238" s="4">
        <f>$K$238*$V$238</f>
        <v>0</v>
      </c>
      <c r="AC238" s="4">
        <f>$M$238*$W$238</f>
        <v>-674.97224999999992</v>
      </c>
      <c r="AD238" s="4">
        <f>$O$238*$X$238</f>
        <v>-534.24135000000001</v>
      </c>
      <c r="AE238" s="4">
        <f>$K$238*$Y$238</f>
        <v>0</v>
      </c>
      <c r="AF238" s="4">
        <f ca="1">$M$238*$Z$238</f>
        <v>-1054.9565355454336</v>
      </c>
      <c r="AG238" s="4">
        <f>$O$238*$AA$238</f>
        <v>-449.76539336451469</v>
      </c>
    </row>
    <row r="239" spans="1:33" ht="11.25" customHeight="1" x14ac:dyDescent="0.3">
      <c r="A239" s="3" t="s">
        <v>28</v>
      </c>
      <c r="B239" s="3" t="s">
        <v>42</v>
      </c>
      <c r="C239" s="3" t="s">
        <v>23</v>
      </c>
      <c r="D239" s="3" t="s">
        <v>43</v>
      </c>
      <c r="E239" s="3" t="s">
        <v>25</v>
      </c>
      <c r="F239" s="3" t="s">
        <v>25</v>
      </c>
      <c r="G239" s="3" t="s">
        <v>25</v>
      </c>
      <c r="H239" s="3" t="s">
        <v>25</v>
      </c>
      <c r="I239" s="6">
        <v>44593</v>
      </c>
      <c r="J239" s="4">
        <v>0</v>
      </c>
      <c r="K239" s="4">
        <v>0</v>
      </c>
      <c r="L239" s="4">
        <v>2.11</v>
      </c>
      <c r="M239" s="4">
        <v>2.11</v>
      </c>
      <c r="N239" s="4">
        <v>2.11</v>
      </c>
      <c r="O239" s="4">
        <v>2.11</v>
      </c>
      <c r="P239" s="4">
        <v>19</v>
      </c>
      <c r="Q239" s="3" t="s">
        <v>26</v>
      </c>
      <c r="R239" s="3">
        <v>0</v>
      </c>
      <c r="S239" s="4">
        <v>0</v>
      </c>
      <c r="T239" s="4">
        <v>31</v>
      </c>
      <c r="U239" s="4">
        <v>69</v>
      </c>
      <c r="V239" s="4">
        <f>IF(ISERROR(VLOOKUP($S$239,'TAR FIN'!$A$1:$O$88,15,0)),0,VLOOKUP($S$239,'TAR FIN'!$A$1:$O$88,15,0))</f>
        <v>0</v>
      </c>
      <c r="W239" s="4">
        <f>IF(ISERROR(VLOOKUP($T$239,'TAR FIN'!$A$1:$O$88,15,0)),0,VLOOKUP($T$239,'TAR FIN'!$A$1:$O$88,15,0))</f>
        <v>269.45</v>
      </c>
      <c r="X239" s="4">
        <f>IF(ISERROR(VLOOKUP($U$239,'TAR FIN'!$A$1:$O$88,15,0)),0,VLOOKUP($U$239,'TAR FIN'!$A$1:$O$88,15,0))</f>
        <v>213.27</v>
      </c>
      <c r="Y239" s="4"/>
      <c r="Z239" s="4">
        <f ca="1">('TUSD BE'!$AM$33+'TUSD BF'!$AM$33+'TUSD CVA'!$AM$33)*(1-CUSTOS!$M$38)</f>
        <v>421.14033355107131</v>
      </c>
      <c r="AA239" s="4">
        <f>('TE BE'!$AB$23+'TE BF'!$AB$23+'TE CVA'!$AB$23)*(1-CUSTOS!$M$38)</f>
        <v>179.54706321936715</v>
      </c>
      <c r="AB239" s="4">
        <f>$K$239*$V$239</f>
        <v>0</v>
      </c>
      <c r="AC239" s="4">
        <f>$M$239*$W$239</f>
        <v>568.53949999999998</v>
      </c>
      <c r="AD239" s="4">
        <f>$O$239*$X$239</f>
        <v>449.99970000000002</v>
      </c>
      <c r="AE239" s="4">
        <f>$K$239*$Y$239</f>
        <v>0</v>
      </c>
      <c r="AF239" s="4">
        <f ca="1">$M$239*$Z$239</f>
        <v>888.60610379276045</v>
      </c>
      <c r="AG239" s="4">
        <f>$O$239*$AA$239</f>
        <v>378.84430339286467</v>
      </c>
    </row>
    <row r="240" spans="1:33" ht="11.25" customHeight="1" x14ac:dyDescent="0.3">
      <c r="A240" s="3" t="s">
        <v>21</v>
      </c>
      <c r="B240" s="3" t="s">
        <v>42</v>
      </c>
      <c r="C240" s="3" t="s">
        <v>23</v>
      </c>
      <c r="D240" s="3" t="s">
        <v>43</v>
      </c>
      <c r="E240" s="3" t="s">
        <v>25</v>
      </c>
      <c r="F240" s="3" t="s">
        <v>25</v>
      </c>
      <c r="G240" s="3" t="s">
        <v>25</v>
      </c>
      <c r="H240" s="3" t="s">
        <v>25</v>
      </c>
      <c r="I240" s="6">
        <v>44621</v>
      </c>
      <c r="J240" s="4">
        <v>0</v>
      </c>
      <c r="K240" s="4">
        <v>0</v>
      </c>
      <c r="L240" s="4">
        <v>463.68700000000001</v>
      </c>
      <c r="M240" s="4">
        <v>463.68700000000001</v>
      </c>
      <c r="N240" s="4">
        <v>463.68700000000001</v>
      </c>
      <c r="O240" s="4">
        <v>463.68700000000001</v>
      </c>
      <c r="P240" s="4">
        <v>1623</v>
      </c>
      <c r="Q240" s="3" t="s">
        <v>26</v>
      </c>
      <c r="R240" s="3">
        <v>0</v>
      </c>
      <c r="S240" s="4">
        <v>0</v>
      </c>
      <c r="T240" s="4">
        <v>31</v>
      </c>
      <c r="U240" s="4">
        <v>69</v>
      </c>
      <c r="V240" s="4">
        <f>IF(ISERROR(VLOOKUP($S$240,'TAR FIN'!$A$1:$O$88,15,0)),0,VLOOKUP($S$240,'TAR FIN'!$A$1:$O$88,15,0))</f>
        <v>0</v>
      </c>
      <c r="W240" s="4">
        <f>IF(ISERROR(VLOOKUP($T$240,'TAR FIN'!$A$1:$O$88,15,0)),0,VLOOKUP($T$240,'TAR FIN'!$A$1:$O$88,15,0))</f>
        <v>269.45</v>
      </c>
      <c r="X240" s="4">
        <f>IF(ISERROR(VLOOKUP($U$240,'TAR FIN'!$A$1:$O$88,15,0)),0,VLOOKUP($U$240,'TAR FIN'!$A$1:$O$88,15,0))</f>
        <v>213.27</v>
      </c>
      <c r="Y240" s="4"/>
      <c r="Z240" s="4">
        <f ca="1">('TUSD BE'!$AM$33+'TUSD BF'!$AM$33+'TUSD CVA'!$AM$33)*(1-CUSTOS!$M$38)</f>
        <v>421.14033355107131</v>
      </c>
      <c r="AA240" s="4">
        <f>('TE BE'!$AB$23+'TE BF'!$AB$23+'TE CVA'!$AB$23)*(1-CUSTOS!$M$38)</f>
        <v>179.54706321936715</v>
      </c>
      <c r="AB240" s="4">
        <f>$K$240*$V$240</f>
        <v>0</v>
      </c>
      <c r="AC240" s="4">
        <f>$M$240*$W$240</f>
        <v>124940.46214999999</v>
      </c>
      <c r="AD240" s="4">
        <f>$O$240*$X$240</f>
        <v>98890.526490000004</v>
      </c>
      <c r="AE240" s="4">
        <f>$K$240*$Y$240</f>
        <v>0</v>
      </c>
      <c r="AF240" s="4">
        <f ca="1">$M$240*$Z$240</f>
        <v>195277.29784329562</v>
      </c>
      <c r="AG240" s="4">
        <f>$O$240*$AA$240</f>
        <v>83253.639102998699</v>
      </c>
    </row>
    <row r="241" spans="1:33" ht="11.25" customHeight="1" x14ac:dyDescent="0.3">
      <c r="A241" s="3" t="s">
        <v>27</v>
      </c>
      <c r="B241" s="3" t="s">
        <v>42</v>
      </c>
      <c r="C241" s="3" t="s">
        <v>23</v>
      </c>
      <c r="D241" s="3" t="s">
        <v>43</v>
      </c>
      <c r="E241" s="3" t="s">
        <v>25</v>
      </c>
      <c r="F241" s="3" t="s">
        <v>25</v>
      </c>
      <c r="G241" s="3" t="s">
        <v>25</v>
      </c>
      <c r="H241" s="3" t="s">
        <v>25</v>
      </c>
      <c r="I241" s="6">
        <v>44621</v>
      </c>
      <c r="J241" s="4">
        <v>0</v>
      </c>
      <c r="K241" s="4">
        <v>0</v>
      </c>
      <c r="L241" s="4">
        <v>-0.53400000000000003</v>
      </c>
      <c r="M241" s="4">
        <v>-0.53400000000000003</v>
      </c>
      <c r="N241" s="4">
        <v>-0.53400000000000003</v>
      </c>
      <c r="O241" s="4">
        <v>-0.53400000000000003</v>
      </c>
      <c r="P241" s="4">
        <v>0</v>
      </c>
      <c r="Q241" s="3" t="s">
        <v>26</v>
      </c>
      <c r="R241" s="3">
        <v>0</v>
      </c>
      <c r="S241" s="4">
        <v>0</v>
      </c>
      <c r="T241" s="4">
        <v>31</v>
      </c>
      <c r="U241" s="4">
        <v>69</v>
      </c>
      <c r="V241" s="4">
        <f>IF(ISERROR(VLOOKUP($S$241,'TAR FIN'!$A$1:$O$88,15,0)),0,VLOOKUP($S$241,'TAR FIN'!$A$1:$O$88,15,0))</f>
        <v>0</v>
      </c>
      <c r="W241" s="4">
        <f>IF(ISERROR(VLOOKUP($T$241,'TAR FIN'!$A$1:$O$88,15,0)),0,VLOOKUP($T$241,'TAR FIN'!$A$1:$O$88,15,0))</f>
        <v>269.45</v>
      </c>
      <c r="X241" s="4">
        <f>IF(ISERROR(VLOOKUP($U$241,'TAR FIN'!$A$1:$O$88,15,0)),0,VLOOKUP($U$241,'TAR FIN'!$A$1:$O$88,15,0))</f>
        <v>213.27</v>
      </c>
      <c r="Y241" s="4"/>
      <c r="Z241" s="4">
        <f ca="1">('TUSD BE'!$AM$33+'TUSD BF'!$AM$33+'TUSD CVA'!$AM$33)*(1-CUSTOS!$M$38)</f>
        <v>421.14033355107131</v>
      </c>
      <c r="AA241" s="4">
        <f>('TE BE'!$AB$23+'TE BF'!$AB$23+'TE CVA'!$AB$23)*(1-CUSTOS!$M$38)</f>
        <v>179.54706321936715</v>
      </c>
      <c r="AB241" s="4">
        <f>$K$241*$V$241</f>
        <v>0</v>
      </c>
      <c r="AC241" s="4">
        <f>$M$241*$W$241</f>
        <v>-143.88630000000001</v>
      </c>
      <c r="AD241" s="4">
        <f>$O$241*$X$241</f>
        <v>-113.88618000000001</v>
      </c>
      <c r="AE241" s="4">
        <f>$K$241*$Y$241</f>
        <v>0</v>
      </c>
      <c r="AF241" s="4">
        <f ca="1">$M$241*$Z$241</f>
        <v>-224.8889381162721</v>
      </c>
      <c r="AG241" s="4">
        <f>$O$241*$AA$241</f>
        <v>-95.878131759142065</v>
      </c>
    </row>
    <row r="242" spans="1:33" ht="11.25" customHeight="1" x14ac:dyDescent="0.3">
      <c r="A242" s="3" t="s">
        <v>28</v>
      </c>
      <c r="B242" s="3" t="s">
        <v>42</v>
      </c>
      <c r="C242" s="3" t="s">
        <v>23</v>
      </c>
      <c r="D242" s="3" t="s">
        <v>43</v>
      </c>
      <c r="E242" s="3" t="s">
        <v>25</v>
      </c>
      <c r="F242" s="3" t="s">
        <v>25</v>
      </c>
      <c r="G242" s="3" t="s">
        <v>25</v>
      </c>
      <c r="H242" s="3" t="s">
        <v>25</v>
      </c>
      <c r="I242" s="6">
        <v>44621</v>
      </c>
      <c r="J242" s="4">
        <v>0</v>
      </c>
      <c r="K242" s="4">
        <v>0</v>
      </c>
      <c r="L242" s="4">
        <v>2.7160000000000002</v>
      </c>
      <c r="M242" s="4">
        <v>2.7160000000000002</v>
      </c>
      <c r="N242" s="4">
        <v>2.7160000000000002</v>
      </c>
      <c r="O242" s="4">
        <v>2.7160000000000002</v>
      </c>
      <c r="P242" s="4">
        <v>19</v>
      </c>
      <c r="Q242" s="3" t="s">
        <v>26</v>
      </c>
      <c r="R242" s="3">
        <v>0</v>
      </c>
      <c r="S242" s="4">
        <v>0</v>
      </c>
      <c r="T242" s="4">
        <v>31</v>
      </c>
      <c r="U242" s="4">
        <v>69</v>
      </c>
      <c r="V242" s="4">
        <f>IF(ISERROR(VLOOKUP($S$242,'TAR FIN'!$A$1:$O$88,15,0)),0,VLOOKUP($S$242,'TAR FIN'!$A$1:$O$88,15,0))</f>
        <v>0</v>
      </c>
      <c r="W242" s="4">
        <f>IF(ISERROR(VLOOKUP($T$242,'TAR FIN'!$A$1:$O$88,15,0)),0,VLOOKUP($T$242,'TAR FIN'!$A$1:$O$88,15,0))</f>
        <v>269.45</v>
      </c>
      <c r="X242" s="4">
        <f>IF(ISERROR(VLOOKUP($U$242,'TAR FIN'!$A$1:$O$88,15,0)),0,VLOOKUP($U$242,'TAR FIN'!$A$1:$O$88,15,0))</f>
        <v>213.27</v>
      </c>
      <c r="Y242" s="4"/>
      <c r="Z242" s="4">
        <f ca="1">('TUSD BE'!$AM$33+'TUSD BF'!$AM$33+'TUSD CVA'!$AM$33)*(1-CUSTOS!$M$38)</f>
        <v>421.14033355107131</v>
      </c>
      <c r="AA242" s="4">
        <f>('TE BE'!$AB$23+'TE BF'!$AB$23+'TE CVA'!$AB$23)*(1-CUSTOS!$M$38)</f>
        <v>179.54706321936715</v>
      </c>
      <c r="AB242" s="4">
        <f>$K$242*$V$242</f>
        <v>0</v>
      </c>
      <c r="AC242" s="4">
        <f>$M$242*$W$242</f>
        <v>731.82619999999997</v>
      </c>
      <c r="AD242" s="4">
        <f>$O$242*$X$242</f>
        <v>579.24132000000009</v>
      </c>
      <c r="AE242" s="4">
        <f>$K$242*$Y$242</f>
        <v>0</v>
      </c>
      <c r="AF242" s="4">
        <f ca="1">$M$242*$Z$242</f>
        <v>1143.8171459247098</v>
      </c>
      <c r="AG242" s="4">
        <f>$O$242*$AA$242</f>
        <v>487.64982370380119</v>
      </c>
    </row>
    <row r="243" spans="1:33" ht="11.25" customHeight="1" x14ac:dyDescent="0.3">
      <c r="A243" s="3" t="s">
        <v>21</v>
      </c>
      <c r="B243" s="3" t="s">
        <v>42</v>
      </c>
      <c r="C243" s="3" t="s">
        <v>23</v>
      </c>
      <c r="D243" s="3" t="s">
        <v>43</v>
      </c>
      <c r="E243" s="3" t="s">
        <v>25</v>
      </c>
      <c r="F243" s="3" t="s">
        <v>25</v>
      </c>
      <c r="G243" s="3" t="s">
        <v>25</v>
      </c>
      <c r="H243" s="3" t="s">
        <v>25</v>
      </c>
      <c r="I243" s="6">
        <v>44652</v>
      </c>
      <c r="J243" s="4">
        <v>0</v>
      </c>
      <c r="K243" s="4">
        <v>0</v>
      </c>
      <c r="L243" s="4">
        <v>504.02499999999998</v>
      </c>
      <c r="M243" s="4">
        <v>504.02499999999998</v>
      </c>
      <c r="N243" s="4">
        <v>504.02499999999998</v>
      </c>
      <c r="O243" s="4">
        <v>504.02499999999998</v>
      </c>
      <c r="P243" s="4">
        <v>1584</v>
      </c>
      <c r="Q243" s="3" t="s">
        <v>26</v>
      </c>
      <c r="R243" s="3">
        <v>0</v>
      </c>
      <c r="S243" s="4">
        <v>0</v>
      </c>
      <c r="T243" s="4">
        <v>31</v>
      </c>
      <c r="U243" s="4">
        <v>69</v>
      </c>
      <c r="V243" s="4">
        <f>IF(ISERROR(VLOOKUP($S$243,'TAR FIN'!$A$1:$O$88,15,0)),0,VLOOKUP($S$243,'TAR FIN'!$A$1:$O$88,15,0))</f>
        <v>0</v>
      </c>
      <c r="W243" s="4">
        <f>IF(ISERROR(VLOOKUP($T$243,'TAR FIN'!$A$1:$O$88,15,0)),0,VLOOKUP($T$243,'TAR FIN'!$A$1:$O$88,15,0))</f>
        <v>269.45</v>
      </c>
      <c r="X243" s="4">
        <f>IF(ISERROR(VLOOKUP($U$243,'TAR FIN'!$A$1:$O$88,15,0)),0,VLOOKUP($U$243,'TAR FIN'!$A$1:$O$88,15,0))</f>
        <v>213.27</v>
      </c>
      <c r="Y243" s="4"/>
      <c r="Z243" s="4">
        <f ca="1">('TUSD BE'!$AM$33+'TUSD BF'!$AM$33+'TUSD CVA'!$AM$33)*(1-CUSTOS!$M$38)</f>
        <v>421.14033355107131</v>
      </c>
      <c r="AA243" s="4">
        <f>('TE BE'!$AB$23+'TE BF'!$AB$23+'TE CVA'!$AB$23)*(1-CUSTOS!$M$38)</f>
        <v>179.54706321936715</v>
      </c>
      <c r="AB243" s="4">
        <f>$K$243*$V$243</f>
        <v>0</v>
      </c>
      <c r="AC243" s="4">
        <f>$M$243*$W$243</f>
        <v>135809.53624999998</v>
      </c>
      <c r="AD243" s="4">
        <f>$O$243*$X$243</f>
        <v>107493.41175</v>
      </c>
      <c r="AE243" s="4">
        <f>$K$243*$Y$243</f>
        <v>0</v>
      </c>
      <c r="AF243" s="4">
        <f ca="1">$M$243*$Z$243</f>
        <v>212265.25661807871</v>
      </c>
      <c r="AG243" s="4">
        <f>$O$243*$AA$243</f>
        <v>90496.208539141517</v>
      </c>
    </row>
    <row r="244" spans="1:33" ht="11.25" customHeight="1" x14ac:dyDescent="0.3">
      <c r="A244" s="3" t="s">
        <v>27</v>
      </c>
      <c r="B244" s="3" t="s">
        <v>42</v>
      </c>
      <c r="C244" s="3" t="s">
        <v>23</v>
      </c>
      <c r="D244" s="3" t="s">
        <v>43</v>
      </c>
      <c r="E244" s="3" t="s">
        <v>25</v>
      </c>
      <c r="F244" s="3" t="s">
        <v>25</v>
      </c>
      <c r="G244" s="3" t="s">
        <v>25</v>
      </c>
      <c r="H244" s="3" t="s">
        <v>25</v>
      </c>
      <c r="I244" s="6">
        <v>44652</v>
      </c>
      <c r="J244" s="4">
        <v>0</v>
      </c>
      <c r="K244" s="4">
        <v>0</v>
      </c>
      <c r="L244" s="4">
        <v>-0.1</v>
      </c>
      <c r="M244" s="4">
        <v>-0.1</v>
      </c>
      <c r="N244" s="4">
        <v>-0.1</v>
      </c>
      <c r="O244" s="4">
        <v>-0.1</v>
      </c>
      <c r="P244" s="4">
        <v>0</v>
      </c>
      <c r="Q244" s="3" t="s">
        <v>26</v>
      </c>
      <c r="R244" s="3">
        <v>0</v>
      </c>
      <c r="S244" s="4">
        <v>0</v>
      </c>
      <c r="T244" s="4">
        <v>31</v>
      </c>
      <c r="U244" s="4">
        <v>69</v>
      </c>
      <c r="V244" s="4">
        <f>IF(ISERROR(VLOOKUP($S$244,'TAR FIN'!$A$1:$O$88,15,0)),0,VLOOKUP($S$244,'TAR FIN'!$A$1:$O$88,15,0))</f>
        <v>0</v>
      </c>
      <c r="W244" s="4">
        <f>IF(ISERROR(VLOOKUP($T$244,'TAR FIN'!$A$1:$O$88,15,0)),0,VLOOKUP($T$244,'TAR FIN'!$A$1:$O$88,15,0))</f>
        <v>269.45</v>
      </c>
      <c r="X244" s="4">
        <f>IF(ISERROR(VLOOKUP($U$244,'TAR FIN'!$A$1:$O$88,15,0)),0,VLOOKUP($U$244,'TAR FIN'!$A$1:$O$88,15,0))</f>
        <v>213.27</v>
      </c>
      <c r="Y244" s="4"/>
      <c r="Z244" s="4">
        <f ca="1">('TUSD BE'!$AM$33+'TUSD BF'!$AM$33+'TUSD CVA'!$AM$33)*(1-CUSTOS!$M$38)</f>
        <v>421.14033355107131</v>
      </c>
      <c r="AA244" s="4">
        <f>('TE BE'!$AB$23+'TE BF'!$AB$23+'TE CVA'!$AB$23)*(1-CUSTOS!$M$38)</f>
        <v>179.54706321936715</v>
      </c>
      <c r="AB244" s="4">
        <f>$K$244*$V$244</f>
        <v>0</v>
      </c>
      <c r="AC244" s="4">
        <f>$M$244*$W$244</f>
        <v>-26.945</v>
      </c>
      <c r="AD244" s="4">
        <f>$O$244*$X$244</f>
        <v>-21.327000000000002</v>
      </c>
      <c r="AE244" s="4">
        <f>$K$244*$Y$244</f>
        <v>0</v>
      </c>
      <c r="AF244" s="4">
        <f ca="1">$M$244*$Z$244</f>
        <v>-42.114033355107132</v>
      </c>
      <c r="AG244" s="4">
        <f>$O$244*$AA$244</f>
        <v>-17.954706321936715</v>
      </c>
    </row>
    <row r="245" spans="1:33" ht="11.25" customHeight="1" x14ac:dyDescent="0.3">
      <c r="A245" s="3" t="s">
        <v>28</v>
      </c>
      <c r="B245" s="3" t="s">
        <v>42</v>
      </c>
      <c r="C245" s="3" t="s">
        <v>23</v>
      </c>
      <c r="D245" s="3" t="s">
        <v>43</v>
      </c>
      <c r="E245" s="3" t="s">
        <v>25</v>
      </c>
      <c r="F245" s="3" t="s">
        <v>25</v>
      </c>
      <c r="G245" s="3" t="s">
        <v>25</v>
      </c>
      <c r="H245" s="3" t="s">
        <v>25</v>
      </c>
      <c r="I245" s="6">
        <v>44652</v>
      </c>
      <c r="J245" s="4">
        <v>0</v>
      </c>
      <c r="K245" s="4">
        <v>0</v>
      </c>
      <c r="L245" s="4">
        <v>3.0870000000000002</v>
      </c>
      <c r="M245" s="4">
        <v>3.0870000000000002</v>
      </c>
      <c r="N245" s="4">
        <v>3.0870000000000002</v>
      </c>
      <c r="O245" s="4">
        <v>3.0870000000000002</v>
      </c>
      <c r="P245" s="4">
        <v>21</v>
      </c>
      <c r="Q245" s="3" t="s">
        <v>26</v>
      </c>
      <c r="R245" s="3">
        <v>0</v>
      </c>
      <c r="S245" s="4">
        <v>0</v>
      </c>
      <c r="T245" s="4">
        <v>31</v>
      </c>
      <c r="U245" s="4">
        <v>69</v>
      </c>
      <c r="V245" s="4">
        <f>IF(ISERROR(VLOOKUP($S$245,'TAR FIN'!$A$1:$O$88,15,0)),0,VLOOKUP($S$245,'TAR FIN'!$A$1:$O$88,15,0))</f>
        <v>0</v>
      </c>
      <c r="W245" s="4">
        <f>IF(ISERROR(VLOOKUP($T$245,'TAR FIN'!$A$1:$O$88,15,0)),0,VLOOKUP($T$245,'TAR FIN'!$A$1:$O$88,15,0))</f>
        <v>269.45</v>
      </c>
      <c r="X245" s="4">
        <f>IF(ISERROR(VLOOKUP($U$245,'TAR FIN'!$A$1:$O$88,15,0)),0,VLOOKUP($U$245,'TAR FIN'!$A$1:$O$88,15,0))</f>
        <v>213.27</v>
      </c>
      <c r="Y245" s="4"/>
      <c r="Z245" s="4">
        <f ca="1">('TUSD BE'!$AM$33+'TUSD BF'!$AM$33+'TUSD CVA'!$AM$33)*(1-CUSTOS!$M$38)</f>
        <v>421.14033355107131</v>
      </c>
      <c r="AA245" s="4">
        <f>('TE BE'!$AB$23+'TE BF'!$AB$23+'TE CVA'!$AB$23)*(1-CUSTOS!$M$38)</f>
        <v>179.54706321936715</v>
      </c>
      <c r="AB245" s="4">
        <f>$K$245*$V$245</f>
        <v>0</v>
      </c>
      <c r="AC245" s="4">
        <f>$M$245*$W$245</f>
        <v>831.79214999999999</v>
      </c>
      <c r="AD245" s="4">
        <f>$O$245*$X$245</f>
        <v>658.36449000000005</v>
      </c>
      <c r="AE245" s="4">
        <f>$K$245*$Y$245</f>
        <v>0</v>
      </c>
      <c r="AF245" s="4">
        <f ca="1">$M$245*$Z$245</f>
        <v>1300.0602096721573</v>
      </c>
      <c r="AG245" s="4">
        <f>$O$245*$AA$245</f>
        <v>554.2617841581864</v>
      </c>
    </row>
    <row r="246" spans="1:33" ht="11.25" customHeight="1" x14ac:dyDescent="0.3">
      <c r="A246" s="3" t="s">
        <v>21</v>
      </c>
      <c r="B246" s="3" t="s">
        <v>42</v>
      </c>
      <c r="C246" s="3" t="s">
        <v>23</v>
      </c>
      <c r="D246" s="3" t="s">
        <v>43</v>
      </c>
      <c r="E246" s="3" t="s">
        <v>25</v>
      </c>
      <c r="F246" s="3" t="s">
        <v>25</v>
      </c>
      <c r="G246" s="3" t="s">
        <v>25</v>
      </c>
      <c r="H246" s="3" t="s">
        <v>25</v>
      </c>
      <c r="I246" s="6">
        <v>44682</v>
      </c>
      <c r="J246" s="4">
        <v>0</v>
      </c>
      <c r="K246" s="4">
        <v>0</v>
      </c>
      <c r="L246" s="4">
        <v>404.67</v>
      </c>
      <c r="M246" s="4">
        <v>404.67</v>
      </c>
      <c r="N246" s="4">
        <v>404.67</v>
      </c>
      <c r="O246" s="4">
        <v>404.67</v>
      </c>
      <c r="P246" s="4">
        <v>1557</v>
      </c>
      <c r="Q246" s="3" t="s">
        <v>26</v>
      </c>
      <c r="R246" s="3">
        <v>0</v>
      </c>
      <c r="S246" s="4">
        <v>0</v>
      </c>
      <c r="T246" s="4">
        <v>31</v>
      </c>
      <c r="U246" s="4">
        <v>69</v>
      </c>
      <c r="V246" s="4">
        <f>IF(ISERROR(VLOOKUP($S$246,'TAR FIN'!$A$1:$O$88,15,0)),0,VLOOKUP($S$246,'TAR FIN'!$A$1:$O$88,15,0))</f>
        <v>0</v>
      </c>
      <c r="W246" s="4">
        <f>IF(ISERROR(VLOOKUP($T$246,'TAR FIN'!$A$1:$O$88,15,0)),0,VLOOKUP($T$246,'TAR FIN'!$A$1:$O$88,15,0))</f>
        <v>269.45</v>
      </c>
      <c r="X246" s="4">
        <f>IF(ISERROR(VLOOKUP($U$246,'TAR FIN'!$A$1:$O$88,15,0)),0,VLOOKUP($U$246,'TAR FIN'!$A$1:$O$88,15,0))</f>
        <v>213.27</v>
      </c>
      <c r="Y246" s="4"/>
      <c r="Z246" s="4">
        <f ca="1">('TUSD BE'!$AM$33+'TUSD BF'!$AM$33+'TUSD CVA'!$AM$33)*(1-CUSTOS!$M$38)</f>
        <v>421.14033355107131</v>
      </c>
      <c r="AA246" s="4">
        <f>('TE BE'!$AB$23+'TE BF'!$AB$23+'TE CVA'!$AB$23)*(1-CUSTOS!$M$38)</f>
        <v>179.54706321936715</v>
      </c>
      <c r="AB246" s="4">
        <f>$K$246*$V$246</f>
        <v>0</v>
      </c>
      <c r="AC246" s="4">
        <f>$M$246*$W$246</f>
        <v>109038.3315</v>
      </c>
      <c r="AD246" s="4">
        <f>$O$246*$X$246</f>
        <v>86303.970900000015</v>
      </c>
      <c r="AE246" s="4">
        <f>$K$246*$Y$246</f>
        <v>0</v>
      </c>
      <c r="AF246" s="4">
        <f ca="1">$M$246*$Z$246</f>
        <v>170422.85877811204</v>
      </c>
      <c r="AG246" s="4">
        <f>$O$246*$AA$246</f>
        <v>72657.310072981301</v>
      </c>
    </row>
    <row r="247" spans="1:33" ht="11.25" customHeight="1" x14ac:dyDescent="0.3">
      <c r="A247" s="3" t="s">
        <v>27</v>
      </c>
      <c r="B247" s="3" t="s">
        <v>42</v>
      </c>
      <c r="C247" s="3" t="s">
        <v>23</v>
      </c>
      <c r="D247" s="3" t="s">
        <v>43</v>
      </c>
      <c r="E247" s="3" t="s">
        <v>25</v>
      </c>
      <c r="F247" s="3" t="s">
        <v>25</v>
      </c>
      <c r="G247" s="3" t="s">
        <v>25</v>
      </c>
      <c r="H247" s="3" t="s">
        <v>25</v>
      </c>
      <c r="I247" s="6">
        <v>44682</v>
      </c>
      <c r="J247" s="4">
        <v>0</v>
      </c>
      <c r="K247" s="4">
        <v>0</v>
      </c>
      <c r="L247" s="4">
        <v>-0.159</v>
      </c>
      <c r="M247" s="4">
        <v>-0.159</v>
      </c>
      <c r="N247" s="4">
        <v>-0.159</v>
      </c>
      <c r="O247" s="4">
        <v>-0.159</v>
      </c>
      <c r="P247" s="4">
        <v>0</v>
      </c>
      <c r="Q247" s="3" t="s">
        <v>26</v>
      </c>
      <c r="R247" s="3">
        <v>0</v>
      </c>
      <c r="S247" s="4">
        <v>0</v>
      </c>
      <c r="T247" s="4">
        <v>31</v>
      </c>
      <c r="U247" s="4">
        <v>69</v>
      </c>
      <c r="V247" s="4">
        <f>IF(ISERROR(VLOOKUP($S$247,'TAR FIN'!$A$1:$O$88,15,0)),0,VLOOKUP($S$247,'TAR FIN'!$A$1:$O$88,15,0))</f>
        <v>0</v>
      </c>
      <c r="W247" s="4">
        <f>IF(ISERROR(VLOOKUP($T$247,'TAR FIN'!$A$1:$O$88,15,0)),0,VLOOKUP($T$247,'TAR FIN'!$A$1:$O$88,15,0))</f>
        <v>269.45</v>
      </c>
      <c r="X247" s="4">
        <f>IF(ISERROR(VLOOKUP($U$247,'TAR FIN'!$A$1:$O$88,15,0)),0,VLOOKUP($U$247,'TAR FIN'!$A$1:$O$88,15,0))</f>
        <v>213.27</v>
      </c>
      <c r="Y247" s="4"/>
      <c r="Z247" s="4">
        <f ca="1">('TUSD BE'!$AM$33+'TUSD BF'!$AM$33+'TUSD CVA'!$AM$33)*(1-CUSTOS!$M$38)</f>
        <v>421.14033355107131</v>
      </c>
      <c r="AA247" s="4">
        <f>('TE BE'!$AB$23+'TE BF'!$AB$23+'TE CVA'!$AB$23)*(1-CUSTOS!$M$38)</f>
        <v>179.54706321936715</v>
      </c>
      <c r="AB247" s="4">
        <f>$K$247*$V$247</f>
        <v>0</v>
      </c>
      <c r="AC247" s="4">
        <f>$M$247*$W$247</f>
        <v>-42.842549999999996</v>
      </c>
      <c r="AD247" s="4">
        <f>$O$247*$X$247</f>
        <v>-33.909930000000003</v>
      </c>
      <c r="AE247" s="4">
        <f>$K$247*$Y$247</f>
        <v>0</v>
      </c>
      <c r="AF247" s="4">
        <f ca="1">$M$247*$Z$247</f>
        <v>-66.961313034620332</v>
      </c>
      <c r="AG247" s="4">
        <f>$O$247*$AA$247</f>
        <v>-28.547983051879378</v>
      </c>
    </row>
    <row r="248" spans="1:33" ht="11.25" customHeight="1" x14ac:dyDescent="0.3">
      <c r="A248" s="3" t="s">
        <v>28</v>
      </c>
      <c r="B248" s="3" t="s">
        <v>42</v>
      </c>
      <c r="C248" s="3" t="s">
        <v>23</v>
      </c>
      <c r="D248" s="3" t="s">
        <v>43</v>
      </c>
      <c r="E248" s="3" t="s">
        <v>25</v>
      </c>
      <c r="F248" s="3" t="s">
        <v>25</v>
      </c>
      <c r="G248" s="3" t="s">
        <v>25</v>
      </c>
      <c r="H248" s="3" t="s">
        <v>25</v>
      </c>
      <c r="I248" s="6">
        <v>44682</v>
      </c>
      <c r="J248" s="4">
        <v>0</v>
      </c>
      <c r="K248" s="4">
        <v>0</v>
      </c>
      <c r="L248" s="4">
        <v>4.9390000000000001</v>
      </c>
      <c r="M248" s="4">
        <v>4.9390000000000001</v>
      </c>
      <c r="N248" s="4">
        <v>4.9390000000000001</v>
      </c>
      <c r="O248" s="4">
        <v>4.9390000000000001</v>
      </c>
      <c r="P248" s="4">
        <v>21</v>
      </c>
      <c r="Q248" s="3" t="s">
        <v>26</v>
      </c>
      <c r="R248" s="3">
        <v>0</v>
      </c>
      <c r="S248" s="4">
        <v>0</v>
      </c>
      <c r="T248" s="4">
        <v>31</v>
      </c>
      <c r="U248" s="4">
        <v>69</v>
      </c>
      <c r="V248" s="4">
        <f>IF(ISERROR(VLOOKUP($S$248,'TAR FIN'!$A$1:$O$88,15,0)),0,VLOOKUP($S$248,'TAR FIN'!$A$1:$O$88,15,0))</f>
        <v>0</v>
      </c>
      <c r="W248" s="4">
        <f>IF(ISERROR(VLOOKUP($T$248,'TAR FIN'!$A$1:$O$88,15,0)),0,VLOOKUP($T$248,'TAR FIN'!$A$1:$O$88,15,0))</f>
        <v>269.45</v>
      </c>
      <c r="X248" s="4">
        <f>IF(ISERROR(VLOOKUP($U$248,'TAR FIN'!$A$1:$O$88,15,0)),0,VLOOKUP($U$248,'TAR FIN'!$A$1:$O$88,15,0))</f>
        <v>213.27</v>
      </c>
      <c r="Y248" s="4"/>
      <c r="Z248" s="4">
        <f ca="1">('TUSD BE'!$AM$33+'TUSD BF'!$AM$33+'TUSD CVA'!$AM$33)*(1-CUSTOS!$M$38)</f>
        <v>421.14033355107131</v>
      </c>
      <c r="AA248" s="4">
        <f>('TE BE'!$AB$23+'TE BF'!$AB$23+'TE CVA'!$AB$23)*(1-CUSTOS!$M$38)</f>
        <v>179.54706321936715</v>
      </c>
      <c r="AB248" s="4">
        <f>$K$248*$V$248</f>
        <v>0</v>
      </c>
      <c r="AC248" s="4">
        <f>$M$248*$W$248</f>
        <v>1330.8135499999999</v>
      </c>
      <c r="AD248" s="4">
        <f>$O$248*$X$248</f>
        <v>1053.3405300000002</v>
      </c>
      <c r="AE248" s="4">
        <f>$K$248*$Y$248</f>
        <v>0</v>
      </c>
      <c r="AF248" s="4">
        <f ca="1">$M$248*$Z$248</f>
        <v>2080.012107408741</v>
      </c>
      <c r="AG248" s="4">
        <f>$O$248*$AA$248</f>
        <v>886.7829452404543</v>
      </c>
    </row>
    <row r="249" spans="1:33" ht="11.25" customHeight="1" x14ac:dyDescent="0.3">
      <c r="A249" s="3" t="s">
        <v>21</v>
      </c>
      <c r="B249" s="3" t="s">
        <v>42</v>
      </c>
      <c r="C249" s="3" t="s">
        <v>23</v>
      </c>
      <c r="D249" s="3" t="s">
        <v>43</v>
      </c>
      <c r="E249" s="3" t="s">
        <v>25</v>
      </c>
      <c r="F249" s="3" t="s">
        <v>25</v>
      </c>
      <c r="G249" s="3" t="s">
        <v>25</v>
      </c>
      <c r="H249" s="3" t="s">
        <v>25</v>
      </c>
      <c r="I249" s="6">
        <v>44713</v>
      </c>
      <c r="J249" s="4">
        <v>0</v>
      </c>
      <c r="K249" s="4">
        <v>0</v>
      </c>
      <c r="L249" s="4">
        <v>383.12400000000002</v>
      </c>
      <c r="M249" s="4">
        <v>383.12400000000002</v>
      </c>
      <c r="N249" s="4">
        <v>383.12400000000002</v>
      </c>
      <c r="O249" s="4">
        <v>383.12400000000002</v>
      </c>
      <c r="P249" s="4">
        <v>1543</v>
      </c>
      <c r="Q249" s="3" t="s">
        <v>26</v>
      </c>
      <c r="R249" s="3">
        <v>0</v>
      </c>
      <c r="S249" s="4">
        <v>0</v>
      </c>
      <c r="T249" s="4">
        <v>31</v>
      </c>
      <c r="U249" s="4">
        <v>69</v>
      </c>
      <c r="V249" s="4">
        <f>IF(ISERROR(VLOOKUP($S$249,'TAR FIN'!$A$1:$O$88,15,0)),0,VLOOKUP($S$249,'TAR FIN'!$A$1:$O$88,15,0))</f>
        <v>0</v>
      </c>
      <c r="W249" s="4">
        <f>IF(ISERROR(VLOOKUP($T$249,'TAR FIN'!$A$1:$O$88,15,0)),0,VLOOKUP($T$249,'TAR FIN'!$A$1:$O$88,15,0))</f>
        <v>269.45</v>
      </c>
      <c r="X249" s="4">
        <f>IF(ISERROR(VLOOKUP($U$249,'TAR FIN'!$A$1:$O$88,15,0)),0,VLOOKUP($U$249,'TAR FIN'!$A$1:$O$88,15,0))</f>
        <v>213.27</v>
      </c>
      <c r="Y249" s="4"/>
      <c r="Z249" s="4">
        <f ca="1">('TUSD BE'!$AM$33+'TUSD BF'!$AM$33+'TUSD CVA'!$AM$33)*(1-CUSTOS!$M$38)</f>
        <v>421.14033355107131</v>
      </c>
      <c r="AA249" s="4">
        <f>('TE BE'!$AB$23+'TE BF'!$AB$23+'TE CVA'!$AB$23)*(1-CUSTOS!$M$38)</f>
        <v>179.54706321936715</v>
      </c>
      <c r="AB249" s="4">
        <f>$K$249*$V$249</f>
        <v>0</v>
      </c>
      <c r="AC249" s="4">
        <f>$M$249*$W$249</f>
        <v>103232.76180000001</v>
      </c>
      <c r="AD249" s="4">
        <f>$O$249*$X$249</f>
        <v>81708.855480000013</v>
      </c>
      <c r="AE249" s="4">
        <f>$K$249*$Y$249</f>
        <v>0</v>
      </c>
      <c r="AF249" s="4">
        <f ca="1">$M$249*$Z$249</f>
        <v>161348.96915142066</v>
      </c>
      <c r="AG249" s="4">
        <f>$O$249*$AA$249</f>
        <v>68788.789048856823</v>
      </c>
    </row>
    <row r="250" spans="1:33" ht="11.25" customHeight="1" x14ac:dyDescent="0.3">
      <c r="A250" s="3" t="s">
        <v>28</v>
      </c>
      <c r="B250" s="3" t="s">
        <v>42</v>
      </c>
      <c r="C250" s="3" t="s">
        <v>23</v>
      </c>
      <c r="D250" s="3" t="s">
        <v>43</v>
      </c>
      <c r="E250" s="3" t="s">
        <v>25</v>
      </c>
      <c r="F250" s="3" t="s">
        <v>25</v>
      </c>
      <c r="G250" s="3" t="s">
        <v>25</v>
      </c>
      <c r="H250" s="3" t="s">
        <v>25</v>
      </c>
      <c r="I250" s="6">
        <v>44713</v>
      </c>
      <c r="J250" s="4">
        <v>0</v>
      </c>
      <c r="K250" s="4">
        <v>0</v>
      </c>
      <c r="L250" s="4">
        <v>7.4859999999999998</v>
      </c>
      <c r="M250" s="4">
        <v>7.4859999999999998</v>
      </c>
      <c r="N250" s="4">
        <v>7.4859999999999998</v>
      </c>
      <c r="O250" s="4">
        <v>7.4859999999999998</v>
      </c>
      <c r="P250" s="4">
        <v>22</v>
      </c>
      <c r="Q250" s="3" t="s">
        <v>26</v>
      </c>
      <c r="R250" s="3">
        <v>0</v>
      </c>
      <c r="S250" s="4">
        <v>0</v>
      </c>
      <c r="T250" s="4">
        <v>31</v>
      </c>
      <c r="U250" s="4">
        <v>69</v>
      </c>
      <c r="V250" s="4">
        <f>IF(ISERROR(VLOOKUP($S$250,'TAR FIN'!$A$1:$O$88,15,0)),0,VLOOKUP($S$250,'TAR FIN'!$A$1:$O$88,15,0))</f>
        <v>0</v>
      </c>
      <c r="W250" s="4">
        <f>IF(ISERROR(VLOOKUP($T$250,'TAR FIN'!$A$1:$O$88,15,0)),0,VLOOKUP($T$250,'TAR FIN'!$A$1:$O$88,15,0))</f>
        <v>269.45</v>
      </c>
      <c r="X250" s="4">
        <f>IF(ISERROR(VLOOKUP($U$250,'TAR FIN'!$A$1:$O$88,15,0)),0,VLOOKUP($U$250,'TAR FIN'!$A$1:$O$88,15,0))</f>
        <v>213.27</v>
      </c>
      <c r="Y250" s="4"/>
      <c r="Z250" s="4">
        <f ca="1">('TUSD BE'!$AM$33+'TUSD BF'!$AM$33+'TUSD CVA'!$AM$33)*(1-CUSTOS!$M$38)</f>
        <v>421.14033355107131</v>
      </c>
      <c r="AA250" s="4">
        <f>('TE BE'!$AB$23+'TE BF'!$AB$23+'TE CVA'!$AB$23)*(1-CUSTOS!$M$38)</f>
        <v>179.54706321936715</v>
      </c>
      <c r="AB250" s="4">
        <f>$K$250*$V$250</f>
        <v>0</v>
      </c>
      <c r="AC250" s="4">
        <f>$M$250*$W$250</f>
        <v>2017.1026999999999</v>
      </c>
      <c r="AD250" s="4">
        <f>$O$250*$X$250</f>
        <v>1596.5392200000001</v>
      </c>
      <c r="AE250" s="4">
        <f>$K$250*$Y$250</f>
        <v>0</v>
      </c>
      <c r="AF250" s="4">
        <f ca="1">$M$250*$Z$250</f>
        <v>3152.6565369633199</v>
      </c>
      <c r="AG250" s="4">
        <f>$O$250*$AA$250</f>
        <v>1344.0893152601825</v>
      </c>
    </row>
    <row r="251" spans="1:33" ht="11.25" customHeight="1" x14ac:dyDescent="0.3">
      <c r="A251" s="3" t="s">
        <v>21</v>
      </c>
      <c r="B251" s="3" t="s">
        <v>42</v>
      </c>
      <c r="C251" s="3" t="s">
        <v>23</v>
      </c>
      <c r="D251" s="3" t="s">
        <v>43</v>
      </c>
      <c r="E251" s="3" t="s">
        <v>25</v>
      </c>
      <c r="F251" s="3" t="s">
        <v>25</v>
      </c>
      <c r="G251" s="3" t="s">
        <v>25</v>
      </c>
      <c r="H251" s="3" t="s">
        <v>25</v>
      </c>
      <c r="I251" s="6">
        <v>44743</v>
      </c>
      <c r="J251" s="4">
        <v>0</v>
      </c>
      <c r="K251" s="4">
        <v>0</v>
      </c>
      <c r="L251" s="4">
        <v>348.16500000000002</v>
      </c>
      <c r="M251" s="4">
        <v>348.16500000000002</v>
      </c>
      <c r="N251" s="4">
        <v>348.16500000000002</v>
      </c>
      <c r="O251" s="4">
        <v>348.16500000000002</v>
      </c>
      <c r="P251" s="4">
        <v>1534</v>
      </c>
      <c r="Q251" s="3" t="s">
        <v>26</v>
      </c>
      <c r="R251" s="3">
        <v>0</v>
      </c>
      <c r="S251" s="4">
        <v>0</v>
      </c>
      <c r="T251" s="4">
        <v>31</v>
      </c>
      <c r="U251" s="4">
        <v>69</v>
      </c>
      <c r="V251" s="4">
        <f>IF(ISERROR(VLOOKUP($S$251,'TAR FIN'!$A$1:$O$88,15,0)),0,VLOOKUP($S$251,'TAR FIN'!$A$1:$O$88,15,0))</f>
        <v>0</v>
      </c>
      <c r="W251" s="4">
        <f>IF(ISERROR(VLOOKUP($T$251,'TAR FIN'!$A$1:$O$88,15,0)),0,VLOOKUP($T$251,'TAR FIN'!$A$1:$O$88,15,0))</f>
        <v>269.45</v>
      </c>
      <c r="X251" s="4">
        <f>IF(ISERROR(VLOOKUP($U$251,'TAR FIN'!$A$1:$O$88,15,0)),0,VLOOKUP($U$251,'TAR FIN'!$A$1:$O$88,15,0))</f>
        <v>213.27</v>
      </c>
      <c r="Y251" s="4"/>
      <c r="Z251" s="4">
        <f ca="1">('TUSD BE'!$AM$33+'TUSD BF'!$AM$33+'TUSD CVA'!$AM$33)*(1-CUSTOS!$M$38)</f>
        <v>421.14033355107131</v>
      </c>
      <c r="AA251" s="4">
        <f>('TE BE'!$AB$23+'TE BF'!$AB$23+'TE CVA'!$AB$23)*(1-CUSTOS!$M$38)</f>
        <v>179.54706321936715</v>
      </c>
      <c r="AB251" s="4">
        <f>$K$251*$V$251</f>
        <v>0</v>
      </c>
      <c r="AC251" s="4">
        <f>$M$251*$W$251</f>
        <v>93813.059250000006</v>
      </c>
      <c r="AD251" s="4">
        <f>$O$251*$X$251</f>
        <v>74253.149550000002</v>
      </c>
      <c r="AE251" s="4">
        <f>$K$251*$Y$251</f>
        <v>0</v>
      </c>
      <c r="AF251" s="4">
        <f ca="1">$M$251*$Z$251</f>
        <v>146626.32423080876</v>
      </c>
      <c r="AG251" s="4">
        <f>$O$251*$AA$251</f>
        <v>62512.003265770967</v>
      </c>
    </row>
    <row r="252" spans="1:33" ht="11.25" customHeight="1" x14ac:dyDescent="0.3">
      <c r="A252" s="3" t="s">
        <v>27</v>
      </c>
      <c r="B252" s="3" t="s">
        <v>42</v>
      </c>
      <c r="C252" s="3" t="s">
        <v>23</v>
      </c>
      <c r="D252" s="3" t="s">
        <v>43</v>
      </c>
      <c r="E252" s="3" t="s">
        <v>25</v>
      </c>
      <c r="F252" s="3" t="s">
        <v>25</v>
      </c>
      <c r="G252" s="3" t="s">
        <v>25</v>
      </c>
      <c r="H252" s="3" t="s">
        <v>25</v>
      </c>
      <c r="I252" s="6">
        <v>44743</v>
      </c>
      <c r="J252" s="4">
        <v>0</v>
      </c>
      <c r="K252" s="4">
        <v>0</v>
      </c>
      <c r="L252" s="4">
        <v>-3.19</v>
      </c>
      <c r="M252" s="4">
        <v>-3.19</v>
      </c>
      <c r="N252" s="4">
        <v>-3.19</v>
      </c>
      <c r="O252" s="4">
        <v>-3.19</v>
      </c>
      <c r="P252" s="4">
        <v>0</v>
      </c>
      <c r="Q252" s="3" t="s">
        <v>26</v>
      </c>
      <c r="R252" s="3">
        <v>0</v>
      </c>
      <c r="S252" s="4">
        <v>0</v>
      </c>
      <c r="T252" s="4">
        <v>31</v>
      </c>
      <c r="U252" s="4">
        <v>69</v>
      </c>
      <c r="V252" s="4">
        <f>IF(ISERROR(VLOOKUP($S$252,'TAR FIN'!$A$1:$O$88,15,0)),0,VLOOKUP($S$252,'TAR FIN'!$A$1:$O$88,15,0))</f>
        <v>0</v>
      </c>
      <c r="W252" s="4">
        <f>IF(ISERROR(VLOOKUP($T$252,'TAR FIN'!$A$1:$O$88,15,0)),0,VLOOKUP($T$252,'TAR FIN'!$A$1:$O$88,15,0))</f>
        <v>269.45</v>
      </c>
      <c r="X252" s="4">
        <f>IF(ISERROR(VLOOKUP($U$252,'TAR FIN'!$A$1:$O$88,15,0)),0,VLOOKUP($U$252,'TAR FIN'!$A$1:$O$88,15,0))</f>
        <v>213.27</v>
      </c>
      <c r="Y252" s="4"/>
      <c r="Z252" s="4">
        <f ca="1">('TUSD BE'!$AM$33+'TUSD BF'!$AM$33+'TUSD CVA'!$AM$33)*(1-CUSTOS!$M$38)</f>
        <v>421.14033355107131</v>
      </c>
      <c r="AA252" s="4">
        <f>('TE BE'!$AB$23+'TE BF'!$AB$23+'TE CVA'!$AB$23)*(1-CUSTOS!$M$38)</f>
        <v>179.54706321936715</v>
      </c>
      <c r="AB252" s="4">
        <f>$K$252*$V$252</f>
        <v>0</v>
      </c>
      <c r="AC252" s="4">
        <f>$M$252*$W$252</f>
        <v>-859.54549999999995</v>
      </c>
      <c r="AD252" s="4">
        <f>$O$252*$X$252</f>
        <v>-680.33130000000006</v>
      </c>
      <c r="AE252" s="4">
        <f>$K$252*$Y$252</f>
        <v>0</v>
      </c>
      <c r="AF252" s="4">
        <f ca="1">$M$252*$Z$252</f>
        <v>-1343.4376640279174</v>
      </c>
      <c r="AG252" s="4">
        <f>$O$252*$AA$252</f>
        <v>-572.75513166978124</v>
      </c>
    </row>
    <row r="253" spans="1:33" ht="11.25" customHeight="1" x14ac:dyDescent="0.3">
      <c r="A253" s="3" t="s">
        <v>28</v>
      </c>
      <c r="B253" s="3" t="s">
        <v>42</v>
      </c>
      <c r="C253" s="3" t="s">
        <v>23</v>
      </c>
      <c r="D253" s="3" t="s">
        <v>43</v>
      </c>
      <c r="E253" s="3" t="s">
        <v>25</v>
      </c>
      <c r="F253" s="3" t="s">
        <v>25</v>
      </c>
      <c r="G253" s="3" t="s">
        <v>25</v>
      </c>
      <c r="H253" s="3" t="s">
        <v>25</v>
      </c>
      <c r="I253" s="6">
        <v>44743</v>
      </c>
      <c r="J253" s="4">
        <v>0</v>
      </c>
      <c r="K253" s="4">
        <v>0</v>
      </c>
      <c r="L253" s="4">
        <v>9.1839999999999993</v>
      </c>
      <c r="M253" s="4">
        <v>9.1839999999999993</v>
      </c>
      <c r="N253" s="4">
        <v>9.1839999999999993</v>
      </c>
      <c r="O253" s="4">
        <v>9.1839999999999993</v>
      </c>
      <c r="P253" s="4">
        <v>25</v>
      </c>
      <c r="Q253" s="3" t="s">
        <v>26</v>
      </c>
      <c r="R253" s="3">
        <v>0</v>
      </c>
      <c r="S253" s="4">
        <v>0</v>
      </c>
      <c r="T253" s="4">
        <v>31</v>
      </c>
      <c r="U253" s="4">
        <v>69</v>
      </c>
      <c r="V253" s="4">
        <f>IF(ISERROR(VLOOKUP($S$253,'TAR FIN'!$A$1:$O$88,15,0)),0,VLOOKUP($S$253,'TAR FIN'!$A$1:$O$88,15,0))</f>
        <v>0</v>
      </c>
      <c r="W253" s="4">
        <f>IF(ISERROR(VLOOKUP($T$253,'TAR FIN'!$A$1:$O$88,15,0)),0,VLOOKUP($T$253,'TAR FIN'!$A$1:$O$88,15,0))</f>
        <v>269.45</v>
      </c>
      <c r="X253" s="4">
        <f>IF(ISERROR(VLOOKUP($U$253,'TAR FIN'!$A$1:$O$88,15,0)),0,VLOOKUP($U$253,'TAR FIN'!$A$1:$O$88,15,0))</f>
        <v>213.27</v>
      </c>
      <c r="Y253" s="4"/>
      <c r="Z253" s="4">
        <f ca="1">('TUSD BE'!$AM$33+'TUSD BF'!$AM$33+'TUSD CVA'!$AM$33)*(1-CUSTOS!$M$38)</f>
        <v>421.14033355107131</v>
      </c>
      <c r="AA253" s="4">
        <f>('TE BE'!$AB$23+'TE BF'!$AB$23+'TE CVA'!$AB$23)*(1-CUSTOS!$M$38)</f>
        <v>179.54706321936715</v>
      </c>
      <c r="AB253" s="4">
        <f>$K$253*$V$253</f>
        <v>0</v>
      </c>
      <c r="AC253" s="4">
        <f>$M$253*$W$253</f>
        <v>2474.6287999999995</v>
      </c>
      <c r="AD253" s="4">
        <f>$O$253*$X$253</f>
        <v>1958.6716799999999</v>
      </c>
      <c r="AE253" s="4">
        <f>$K$253*$Y$253</f>
        <v>0</v>
      </c>
      <c r="AF253" s="4">
        <f ca="1">$M$253*$Z$253</f>
        <v>3867.7528233330386</v>
      </c>
      <c r="AG253" s="4">
        <f>$O$253*$AA$253</f>
        <v>1648.9602286066677</v>
      </c>
    </row>
    <row r="254" spans="1:33" ht="11.25" customHeight="1" x14ac:dyDescent="0.3">
      <c r="A254" s="3" t="s">
        <v>55</v>
      </c>
      <c r="B254" s="3" t="s">
        <v>42</v>
      </c>
      <c r="C254" s="3" t="s">
        <v>23</v>
      </c>
      <c r="D254" s="3" t="s">
        <v>43</v>
      </c>
      <c r="E254" s="3" t="s">
        <v>25</v>
      </c>
      <c r="F254" s="3" t="s">
        <v>25</v>
      </c>
      <c r="G254" s="3" t="s">
        <v>25</v>
      </c>
      <c r="H254" s="3" t="s">
        <v>25</v>
      </c>
      <c r="I254" s="6">
        <v>44774</v>
      </c>
      <c r="J254" s="4">
        <v>0</v>
      </c>
      <c r="K254" s="4">
        <v>0</v>
      </c>
      <c r="L254" s="4">
        <v>348.16500000000002</v>
      </c>
      <c r="M254" s="4">
        <v>348.16500000000002</v>
      </c>
      <c r="N254" s="4">
        <v>348.16500000000002</v>
      </c>
      <c r="O254" s="4">
        <v>348.16500000000002</v>
      </c>
      <c r="P254" s="4">
        <v>1534</v>
      </c>
      <c r="Q254" s="3" t="s">
        <v>26</v>
      </c>
      <c r="R254" s="3">
        <v>0</v>
      </c>
      <c r="S254" s="4">
        <v>0</v>
      </c>
      <c r="T254" s="4">
        <v>31</v>
      </c>
      <c r="U254" s="4">
        <v>69</v>
      </c>
      <c r="V254" s="4">
        <f>IF(ISERROR(VLOOKUP($S$254,'TAR FIN'!$A$1:$O$88,15,0)),0,VLOOKUP($S$254,'TAR FIN'!$A$1:$O$88,15,0))</f>
        <v>0</v>
      </c>
      <c r="W254" s="4">
        <f>IF(ISERROR(VLOOKUP($T$254,'TAR FIN'!$A$1:$O$88,15,0)),0,VLOOKUP($T$254,'TAR FIN'!$A$1:$O$88,15,0))</f>
        <v>269.45</v>
      </c>
      <c r="X254" s="4">
        <f>IF(ISERROR(VLOOKUP($U$254,'TAR FIN'!$A$1:$O$88,15,0)),0,VLOOKUP($U$254,'TAR FIN'!$A$1:$O$88,15,0))</f>
        <v>213.27</v>
      </c>
      <c r="Y254" s="4"/>
      <c r="Z254" s="4">
        <f ca="1">('TUSD BE'!$AM$33+'TUSD BF'!$AM$33+'TUSD CVA'!$AM$33)*(1-CUSTOS!$M$38)</f>
        <v>421.14033355107131</v>
      </c>
      <c r="AA254" s="4">
        <f>('TE BE'!$AB$23+'TE BF'!$AB$23+'TE CVA'!$AB$23)*(1-CUSTOS!$M$38)</f>
        <v>179.54706321936715</v>
      </c>
      <c r="AB254" s="4">
        <f>$K$254*$V$254</f>
        <v>0</v>
      </c>
      <c r="AC254" s="4">
        <f>$M$254*$W$254</f>
        <v>93813.059250000006</v>
      </c>
      <c r="AD254" s="4">
        <f>$O$254*$X$254</f>
        <v>74253.149550000002</v>
      </c>
      <c r="AE254" s="4">
        <f>$K$254*$Y$254</f>
        <v>0</v>
      </c>
      <c r="AF254" s="4">
        <f ca="1">$M$254*$Z$254</f>
        <v>146626.32423080876</v>
      </c>
      <c r="AG254" s="4">
        <f>$O$254*$AA$254</f>
        <v>62512.003265770967</v>
      </c>
    </row>
    <row r="255" spans="1:33" ht="11.25" customHeight="1" x14ac:dyDescent="0.3">
      <c r="A255" s="3" t="s">
        <v>55</v>
      </c>
      <c r="B255" s="3" t="s">
        <v>42</v>
      </c>
      <c r="C255" s="3" t="s">
        <v>23</v>
      </c>
      <c r="D255" s="3" t="s">
        <v>43</v>
      </c>
      <c r="E255" s="3" t="s">
        <v>25</v>
      </c>
      <c r="F255" s="3" t="s">
        <v>25</v>
      </c>
      <c r="G255" s="3" t="s">
        <v>25</v>
      </c>
      <c r="H255" s="3" t="s">
        <v>25</v>
      </c>
      <c r="I255" s="6">
        <v>44774</v>
      </c>
      <c r="J255" s="4">
        <v>0</v>
      </c>
      <c r="K255" s="4">
        <v>0</v>
      </c>
      <c r="L255" s="4">
        <v>-3.19</v>
      </c>
      <c r="M255" s="4">
        <v>-3.19</v>
      </c>
      <c r="N255" s="4">
        <v>-3.19</v>
      </c>
      <c r="O255" s="4">
        <v>-3.19</v>
      </c>
      <c r="P255" s="4">
        <v>0</v>
      </c>
      <c r="Q255" s="3" t="s">
        <v>26</v>
      </c>
      <c r="R255" s="3">
        <v>0</v>
      </c>
      <c r="S255" s="4">
        <v>0</v>
      </c>
      <c r="T255" s="4">
        <v>31</v>
      </c>
      <c r="U255" s="4">
        <v>69</v>
      </c>
      <c r="V255" s="4">
        <f>IF(ISERROR(VLOOKUP($S$255,'TAR FIN'!$A$1:$O$88,15,0)),0,VLOOKUP($S$255,'TAR FIN'!$A$1:$O$88,15,0))</f>
        <v>0</v>
      </c>
      <c r="W255" s="4">
        <f>IF(ISERROR(VLOOKUP($T$255,'TAR FIN'!$A$1:$O$88,15,0)),0,VLOOKUP($T$255,'TAR FIN'!$A$1:$O$88,15,0))</f>
        <v>269.45</v>
      </c>
      <c r="X255" s="4">
        <f>IF(ISERROR(VLOOKUP($U$255,'TAR FIN'!$A$1:$O$88,15,0)),0,VLOOKUP($U$255,'TAR FIN'!$A$1:$O$88,15,0))</f>
        <v>213.27</v>
      </c>
      <c r="Y255" s="4"/>
      <c r="Z255" s="4">
        <f ca="1">('TUSD BE'!$AM$33+'TUSD BF'!$AM$33+'TUSD CVA'!$AM$33)*(1-CUSTOS!$M$38)</f>
        <v>421.14033355107131</v>
      </c>
      <c r="AA255" s="4">
        <f>('TE BE'!$AB$23+'TE BF'!$AB$23+'TE CVA'!$AB$23)*(1-CUSTOS!$M$38)</f>
        <v>179.54706321936715</v>
      </c>
      <c r="AB255" s="4">
        <f>$K$255*$V$255</f>
        <v>0</v>
      </c>
      <c r="AC255" s="4">
        <f>$M$255*$W$255</f>
        <v>-859.54549999999995</v>
      </c>
      <c r="AD255" s="4">
        <f>$O$255*$X$255</f>
        <v>-680.33130000000006</v>
      </c>
      <c r="AE255" s="4">
        <f>$K$255*$Y$255</f>
        <v>0</v>
      </c>
      <c r="AF255" s="4">
        <f ca="1">$M$255*$Z$255</f>
        <v>-1343.4376640279174</v>
      </c>
      <c r="AG255" s="4">
        <f>$O$255*$AA$255</f>
        <v>-572.75513166978124</v>
      </c>
    </row>
    <row r="256" spans="1:33" ht="11.25" customHeight="1" x14ac:dyDescent="0.3">
      <c r="A256" s="3" t="s">
        <v>55</v>
      </c>
      <c r="B256" s="3" t="s">
        <v>42</v>
      </c>
      <c r="C256" s="3" t="s">
        <v>23</v>
      </c>
      <c r="D256" s="3" t="s">
        <v>43</v>
      </c>
      <c r="E256" s="3" t="s">
        <v>25</v>
      </c>
      <c r="F256" s="3" t="s">
        <v>25</v>
      </c>
      <c r="G256" s="3" t="s">
        <v>25</v>
      </c>
      <c r="H256" s="3" t="s">
        <v>25</v>
      </c>
      <c r="I256" s="6">
        <v>44774</v>
      </c>
      <c r="J256" s="4">
        <v>0</v>
      </c>
      <c r="K256" s="4">
        <v>0</v>
      </c>
      <c r="L256" s="4">
        <v>9.1839999999999993</v>
      </c>
      <c r="M256" s="4">
        <v>9.1839999999999993</v>
      </c>
      <c r="N256" s="4">
        <v>9.1839999999999993</v>
      </c>
      <c r="O256" s="4">
        <v>9.1839999999999993</v>
      </c>
      <c r="P256" s="4">
        <v>25</v>
      </c>
      <c r="Q256" s="3" t="s">
        <v>26</v>
      </c>
      <c r="R256" s="3">
        <v>0</v>
      </c>
      <c r="S256" s="4">
        <v>0</v>
      </c>
      <c r="T256" s="4">
        <v>31</v>
      </c>
      <c r="U256" s="4">
        <v>69</v>
      </c>
      <c r="V256" s="4">
        <f>IF(ISERROR(VLOOKUP($S$256,'TAR FIN'!$A$1:$O$88,15,0)),0,VLOOKUP($S$256,'TAR FIN'!$A$1:$O$88,15,0))</f>
        <v>0</v>
      </c>
      <c r="W256" s="4">
        <f>IF(ISERROR(VLOOKUP($T$256,'TAR FIN'!$A$1:$O$88,15,0)),0,VLOOKUP($T$256,'TAR FIN'!$A$1:$O$88,15,0))</f>
        <v>269.45</v>
      </c>
      <c r="X256" s="4">
        <f>IF(ISERROR(VLOOKUP($U$256,'TAR FIN'!$A$1:$O$88,15,0)),0,VLOOKUP($U$256,'TAR FIN'!$A$1:$O$88,15,0))</f>
        <v>213.27</v>
      </c>
      <c r="Y256" s="4"/>
      <c r="Z256" s="4">
        <f ca="1">('TUSD BE'!$AM$33+'TUSD BF'!$AM$33+'TUSD CVA'!$AM$33)*(1-CUSTOS!$M$38)</f>
        <v>421.14033355107131</v>
      </c>
      <c r="AA256" s="4">
        <f>('TE BE'!$AB$23+'TE BF'!$AB$23+'TE CVA'!$AB$23)*(1-CUSTOS!$M$38)</f>
        <v>179.54706321936715</v>
      </c>
      <c r="AB256" s="4">
        <f>$K$256*$V$256</f>
        <v>0</v>
      </c>
      <c r="AC256" s="4">
        <f>$M$256*$W$256</f>
        <v>2474.6287999999995</v>
      </c>
      <c r="AD256" s="4">
        <f>$O$256*$X$256</f>
        <v>1958.6716799999999</v>
      </c>
      <c r="AE256" s="4">
        <f>$K$256*$Y$256</f>
        <v>0</v>
      </c>
      <c r="AF256" s="4">
        <f ca="1">$M$256*$Z$256</f>
        <v>3867.7528233330386</v>
      </c>
      <c r="AG256" s="4">
        <f>$O$256*$AA$256</f>
        <v>1648.9602286066677</v>
      </c>
    </row>
    <row r="257" spans="1:33" ht="11.25" customHeight="1" x14ac:dyDescent="0.3">
      <c r="A257" s="3" t="s">
        <v>21</v>
      </c>
      <c r="B257" s="3" t="s">
        <v>33</v>
      </c>
      <c r="C257" s="3" t="s">
        <v>40</v>
      </c>
      <c r="D257" s="3" t="s">
        <v>39</v>
      </c>
      <c r="E257" s="3" t="s">
        <v>25</v>
      </c>
      <c r="F257" s="3" t="s">
        <v>25</v>
      </c>
      <c r="G257" s="3" t="s">
        <v>25</v>
      </c>
      <c r="H257" s="3" t="s">
        <v>38</v>
      </c>
      <c r="I257" s="6">
        <v>44440</v>
      </c>
      <c r="J257" s="4">
        <v>0</v>
      </c>
      <c r="K257" s="4">
        <v>0</v>
      </c>
      <c r="L257" s="4">
        <v>0.54100000000000004</v>
      </c>
      <c r="M257" s="4">
        <v>0.54100000000000004</v>
      </c>
      <c r="N257" s="4">
        <v>0.54100000000000004</v>
      </c>
      <c r="O257" s="4">
        <v>0.54100000000000004</v>
      </c>
      <c r="P257" s="4">
        <v>0</v>
      </c>
      <c r="Q257" s="3" t="s">
        <v>26</v>
      </c>
      <c r="R257" s="3">
        <v>0</v>
      </c>
      <c r="S257" s="4">
        <v>0</v>
      </c>
      <c r="T257" s="4">
        <v>45</v>
      </c>
      <c r="U257" s="4">
        <v>83</v>
      </c>
      <c r="V257" s="4">
        <f>IF(ISERROR(VLOOKUP($S$257,'TAR FIN'!$A$1:$O$88,15,0)),0,VLOOKUP($S$257,'TAR FIN'!$A$1:$O$88,15,0))</f>
        <v>0</v>
      </c>
      <c r="W257" s="4">
        <f>IF(ISERROR(VLOOKUP($T$257,'TAR FIN'!$A$1:$O$88,15,0)),0,VLOOKUP($T$257,'TAR FIN'!$A$1:$O$88,15,0))</f>
        <v>233.35</v>
      </c>
      <c r="X257" s="4">
        <f>IF(ISERROR(VLOOKUP($U$257,'TAR FIN'!$A$1:$O$88,15,0)),0,VLOOKUP($U$257,'TAR FIN'!$A$1:$O$88,15,0))</f>
        <v>242.35</v>
      </c>
      <c r="Y257" s="4"/>
      <c r="Z257" s="4">
        <f ca="1">('TUSD BE'!$AM$47+'TUSD BF'!$AM$47+'TUSD CVA'!$AM$47)*1</f>
        <v>341.52166134826473</v>
      </c>
      <c r="AA257" s="4">
        <f>('TE BE'!$AB$37+'TE BF'!$AB$37+'TE CVA'!$AB$37)*1</f>
        <v>191.00751406315655</v>
      </c>
      <c r="AB257" s="4">
        <f>$K$257*$V$257</f>
        <v>0</v>
      </c>
      <c r="AC257" s="4">
        <f>$M$257*$W$257</f>
        <v>126.24235</v>
      </c>
      <c r="AD257" s="4">
        <f>$O$257*$X$257</f>
        <v>131.11135000000002</v>
      </c>
      <c r="AE257" s="4">
        <f>$K$257*$Y$257</f>
        <v>0</v>
      </c>
      <c r="AF257" s="4">
        <f ca="1">$M$257*$Z$257</f>
        <v>184.76321878941124</v>
      </c>
      <c r="AG257" s="4">
        <f>$O$257*$AA$257</f>
        <v>103.3350651081677</v>
      </c>
    </row>
    <row r="258" spans="1:33" ht="11.25" customHeight="1" x14ac:dyDescent="0.3">
      <c r="A258" s="3" t="s">
        <v>21</v>
      </c>
      <c r="B258" s="3" t="s">
        <v>33</v>
      </c>
      <c r="C258" s="3" t="s">
        <v>40</v>
      </c>
      <c r="D258" s="3" t="s">
        <v>39</v>
      </c>
      <c r="E258" s="3" t="s">
        <v>25</v>
      </c>
      <c r="F258" s="3" t="s">
        <v>25</v>
      </c>
      <c r="G258" s="3" t="s">
        <v>25</v>
      </c>
      <c r="H258" s="3" t="s">
        <v>38</v>
      </c>
      <c r="I258" s="6">
        <v>44470</v>
      </c>
      <c r="J258" s="4">
        <v>0</v>
      </c>
      <c r="K258" s="4">
        <v>0</v>
      </c>
      <c r="L258" s="4">
        <v>0.56000000000000005</v>
      </c>
      <c r="M258" s="4">
        <v>0.56000000000000005</v>
      </c>
      <c r="N258" s="4">
        <v>0.56000000000000005</v>
      </c>
      <c r="O258" s="4">
        <v>0.56000000000000005</v>
      </c>
      <c r="P258" s="4">
        <v>0</v>
      </c>
      <c r="Q258" s="3" t="s">
        <v>26</v>
      </c>
      <c r="R258" s="3">
        <v>0</v>
      </c>
      <c r="S258" s="4">
        <v>0</v>
      </c>
      <c r="T258" s="4">
        <v>45</v>
      </c>
      <c r="U258" s="4">
        <v>83</v>
      </c>
      <c r="V258" s="4">
        <f>IF(ISERROR(VLOOKUP($S$258,'TAR FIN'!$A$1:$O$88,15,0)),0,VLOOKUP($S$258,'TAR FIN'!$A$1:$O$88,15,0))</f>
        <v>0</v>
      </c>
      <c r="W258" s="4">
        <f>IF(ISERROR(VLOOKUP($T$258,'TAR FIN'!$A$1:$O$88,15,0)),0,VLOOKUP($T$258,'TAR FIN'!$A$1:$O$88,15,0))</f>
        <v>233.35</v>
      </c>
      <c r="X258" s="4">
        <f>IF(ISERROR(VLOOKUP($U$258,'TAR FIN'!$A$1:$O$88,15,0)),0,VLOOKUP($U$258,'TAR FIN'!$A$1:$O$88,15,0))</f>
        <v>242.35</v>
      </c>
      <c r="Y258" s="4"/>
      <c r="Z258" s="4">
        <f ca="1">('TUSD BE'!$AM$47+'TUSD BF'!$AM$47+'TUSD CVA'!$AM$47)*1</f>
        <v>341.52166134826473</v>
      </c>
      <c r="AA258" s="4">
        <f>('TE BE'!$AB$37+'TE BF'!$AB$37+'TE CVA'!$AB$37)*1</f>
        <v>191.00751406315655</v>
      </c>
      <c r="AB258" s="4">
        <f>$K$258*$V$258</f>
        <v>0</v>
      </c>
      <c r="AC258" s="4">
        <f>$M$258*$W$258</f>
        <v>130.67600000000002</v>
      </c>
      <c r="AD258" s="4">
        <f>$O$258*$X$258</f>
        <v>135.71600000000001</v>
      </c>
      <c r="AE258" s="4">
        <f>$K$258*$Y$258</f>
        <v>0</v>
      </c>
      <c r="AF258" s="4">
        <f ca="1">$M$258*$Z$258</f>
        <v>191.25213035502827</v>
      </c>
      <c r="AG258" s="4">
        <f>$O$258*$AA$258</f>
        <v>106.96420787536768</v>
      </c>
    </row>
    <row r="259" spans="1:33" ht="11.25" customHeight="1" x14ac:dyDescent="0.3">
      <c r="A259" s="3" t="s">
        <v>21</v>
      </c>
      <c r="B259" s="3" t="s">
        <v>33</v>
      </c>
      <c r="C259" s="3" t="s">
        <v>40</v>
      </c>
      <c r="D259" s="3" t="s">
        <v>39</v>
      </c>
      <c r="E259" s="3" t="s">
        <v>25</v>
      </c>
      <c r="F259" s="3" t="s">
        <v>25</v>
      </c>
      <c r="G259" s="3" t="s">
        <v>25</v>
      </c>
      <c r="H259" s="3" t="s">
        <v>38</v>
      </c>
      <c r="I259" s="6">
        <v>44501</v>
      </c>
      <c r="J259" s="4">
        <v>0</v>
      </c>
      <c r="K259" s="4">
        <v>0</v>
      </c>
      <c r="L259" s="4">
        <v>0.63</v>
      </c>
      <c r="M259" s="4">
        <v>0.63</v>
      </c>
      <c r="N259" s="4">
        <v>0.63</v>
      </c>
      <c r="O259" s="4">
        <v>0.63</v>
      </c>
      <c r="P259" s="4">
        <v>0</v>
      </c>
      <c r="Q259" s="3" t="s">
        <v>26</v>
      </c>
      <c r="R259" s="3">
        <v>0</v>
      </c>
      <c r="S259" s="4">
        <v>0</v>
      </c>
      <c r="T259" s="4">
        <v>45</v>
      </c>
      <c r="U259" s="4">
        <v>83</v>
      </c>
      <c r="V259" s="4">
        <f>IF(ISERROR(VLOOKUP($S$259,'TAR FIN'!$A$1:$O$88,15,0)),0,VLOOKUP($S$259,'TAR FIN'!$A$1:$O$88,15,0))</f>
        <v>0</v>
      </c>
      <c r="W259" s="4">
        <f>IF(ISERROR(VLOOKUP($T$259,'TAR FIN'!$A$1:$O$88,15,0)),0,VLOOKUP($T$259,'TAR FIN'!$A$1:$O$88,15,0))</f>
        <v>233.35</v>
      </c>
      <c r="X259" s="4">
        <f>IF(ISERROR(VLOOKUP($U$259,'TAR FIN'!$A$1:$O$88,15,0)),0,VLOOKUP($U$259,'TAR FIN'!$A$1:$O$88,15,0))</f>
        <v>242.35</v>
      </c>
      <c r="Y259" s="4"/>
      <c r="Z259" s="4">
        <f ca="1">('TUSD BE'!$AM$47+'TUSD BF'!$AM$47+'TUSD CVA'!$AM$47)*1</f>
        <v>341.52166134826473</v>
      </c>
      <c r="AA259" s="4">
        <f>('TE BE'!$AB$37+'TE BF'!$AB$37+'TE CVA'!$AB$37)*1</f>
        <v>191.00751406315655</v>
      </c>
      <c r="AB259" s="4">
        <f>$K$259*$V$259</f>
        <v>0</v>
      </c>
      <c r="AC259" s="4">
        <f>$M$259*$W$259</f>
        <v>147.01050000000001</v>
      </c>
      <c r="AD259" s="4">
        <f>$O$259*$X$259</f>
        <v>152.68049999999999</v>
      </c>
      <c r="AE259" s="4">
        <f>$K$259*$Y$259</f>
        <v>0</v>
      </c>
      <c r="AF259" s="4">
        <f ca="1">$M$259*$Z$259</f>
        <v>215.15864664940679</v>
      </c>
      <c r="AG259" s="4">
        <f>$O$259*$AA$259</f>
        <v>120.33473385978863</v>
      </c>
    </row>
    <row r="260" spans="1:33" ht="11.25" customHeight="1" x14ac:dyDescent="0.3">
      <c r="A260" s="3" t="s">
        <v>21</v>
      </c>
      <c r="B260" s="3" t="s">
        <v>33</v>
      </c>
      <c r="C260" s="3" t="s">
        <v>40</v>
      </c>
      <c r="D260" s="3" t="s">
        <v>39</v>
      </c>
      <c r="E260" s="3" t="s">
        <v>25</v>
      </c>
      <c r="F260" s="3" t="s">
        <v>25</v>
      </c>
      <c r="G260" s="3" t="s">
        <v>25</v>
      </c>
      <c r="H260" s="3" t="s">
        <v>38</v>
      </c>
      <c r="I260" s="6">
        <v>44531</v>
      </c>
      <c r="J260" s="4">
        <v>0</v>
      </c>
      <c r="K260" s="4">
        <v>0</v>
      </c>
      <c r="L260" s="4">
        <v>0.747</v>
      </c>
      <c r="M260" s="4">
        <v>0.747</v>
      </c>
      <c r="N260" s="4">
        <v>0.747</v>
      </c>
      <c r="O260" s="4">
        <v>0.747</v>
      </c>
      <c r="P260" s="4">
        <v>0</v>
      </c>
      <c r="Q260" s="3" t="s">
        <v>26</v>
      </c>
      <c r="R260" s="3">
        <v>0</v>
      </c>
      <c r="S260" s="4">
        <v>0</v>
      </c>
      <c r="T260" s="4">
        <v>45</v>
      </c>
      <c r="U260" s="4">
        <v>83</v>
      </c>
      <c r="V260" s="4">
        <f>IF(ISERROR(VLOOKUP($S$260,'TAR FIN'!$A$1:$O$88,15,0)),0,VLOOKUP($S$260,'TAR FIN'!$A$1:$O$88,15,0))</f>
        <v>0</v>
      </c>
      <c r="W260" s="4">
        <f>IF(ISERROR(VLOOKUP($T$260,'TAR FIN'!$A$1:$O$88,15,0)),0,VLOOKUP($T$260,'TAR FIN'!$A$1:$O$88,15,0))</f>
        <v>233.35</v>
      </c>
      <c r="X260" s="4">
        <f>IF(ISERROR(VLOOKUP($U$260,'TAR FIN'!$A$1:$O$88,15,0)),0,VLOOKUP($U$260,'TAR FIN'!$A$1:$O$88,15,0))</f>
        <v>242.35</v>
      </c>
      <c r="Y260" s="4"/>
      <c r="Z260" s="4">
        <f ca="1">('TUSD BE'!$AM$47+'TUSD BF'!$AM$47+'TUSD CVA'!$AM$47)*1</f>
        <v>341.52166134826473</v>
      </c>
      <c r="AA260" s="4">
        <f>('TE BE'!$AB$37+'TE BF'!$AB$37+'TE CVA'!$AB$37)*1</f>
        <v>191.00751406315655</v>
      </c>
      <c r="AB260" s="4">
        <f>$K$260*$V$260</f>
        <v>0</v>
      </c>
      <c r="AC260" s="4">
        <f>$M$260*$W$260</f>
        <v>174.31244999999998</v>
      </c>
      <c r="AD260" s="4">
        <f>$O$260*$X$260</f>
        <v>181.03545</v>
      </c>
      <c r="AE260" s="4">
        <f>$K$260*$Y$260</f>
        <v>0</v>
      </c>
      <c r="AF260" s="4">
        <f ca="1">$M$260*$Z$260</f>
        <v>255.11668102715376</v>
      </c>
      <c r="AG260" s="4">
        <f>$O$260*$AA$260</f>
        <v>142.68261300517793</v>
      </c>
    </row>
    <row r="261" spans="1:33" ht="11.25" customHeight="1" x14ac:dyDescent="0.3">
      <c r="A261" s="3" t="s">
        <v>21</v>
      </c>
      <c r="B261" s="3" t="s">
        <v>33</v>
      </c>
      <c r="C261" s="3" t="s">
        <v>40</v>
      </c>
      <c r="D261" s="3" t="s">
        <v>39</v>
      </c>
      <c r="E261" s="3" t="s">
        <v>25</v>
      </c>
      <c r="F261" s="3" t="s">
        <v>25</v>
      </c>
      <c r="G261" s="3" t="s">
        <v>25</v>
      </c>
      <c r="H261" s="3" t="s">
        <v>38</v>
      </c>
      <c r="I261" s="6">
        <v>44562</v>
      </c>
      <c r="J261" s="4">
        <v>0</v>
      </c>
      <c r="K261" s="4">
        <v>0</v>
      </c>
      <c r="L261" s="4">
        <v>0.86099999999999999</v>
      </c>
      <c r="M261" s="4">
        <v>0.86099999999999999</v>
      </c>
      <c r="N261" s="4">
        <v>0.86099999999999999</v>
      </c>
      <c r="O261" s="4">
        <v>0.86099999999999999</v>
      </c>
      <c r="P261" s="4">
        <v>0</v>
      </c>
      <c r="Q261" s="3" t="s">
        <v>26</v>
      </c>
      <c r="R261" s="3">
        <v>0</v>
      </c>
      <c r="S261" s="4">
        <v>0</v>
      </c>
      <c r="T261" s="4">
        <v>45</v>
      </c>
      <c r="U261" s="4">
        <v>83</v>
      </c>
      <c r="V261" s="4">
        <f>IF(ISERROR(VLOOKUP($S$261,'TAR FIN'!$A$1:$O$88,15,0)),0,VLOOKUP($S$261,'TAR FIN'!$A$1:$O$88,15,0))</f>
        <v>0</v>
      </c>
      <c r="W261" s="4">
        <f>IF(ISERROR(VLOOKUP($T$261,'TAR FIN'!$A$1:$O$88,15,0)),0,VLOOKUP($T$261,'TAR FIN'!$A$1:$O$88,15,0))</f>
        <v>233.35</v>
      </c>
      <c r="X261" s="4">
        <f>IF(ISERROR(VLOOKUP($U$261,'TAR FIN'!$A$1:$O$88,15,0)),0,VLOOKUP($U$261,'TAR FIN'!$A$1:$O$88,15,0))</f>
        <v>242.35</v>
      </c>
      <c r="Y261" s="4"/>
      <c r="Z261" s="4">
        <f ca="1">('TUSD BE'!$AM$47+'TUSD BF'!$AM$47+'TUSD CVA'!$AM$47)*1</f>
        <v>341.52166134826473</v>
      </c>
      <c r="AA261" s="4">
        <f>('TE BE'!$AB$37+'TE BF'!$AB$37+'TE CVA'!$AB$37)*1</f>
        <v>191.00751406315655</v>
      </c>
      <c r="AB261" s="4">
        <f>$K$261*$V$261</f>
        <v>0</v>
      </c>
      <c r="AC261" s="4">
        <f>$M$261*$W$261</f>
        <v>200.91434999999998</v>
      </c>
      <c r="AD261" s="4">
        <f>$O$261*$X$261</f>
        <v>208.66334999999998</v>
      </c>
      <c r="AE261" s="4">
        <f>$K$261*$Y$261</f>
        <v>0</v>
      </c>
      <c r="AF261" s="4">
        <f ca="1">$M$261*$Z$261</f>
        <v>294.05015042085591</v>
      </c>
      <c r="AG261" s="4">
        <f>$O$261*$AA$261</f>
        <v>164.45746960837778</v>
      </c>
    </row>
    <row r="262" spans="1:33" ht="11.25" customHeight="1" x14ac:dyDescent="0.3">
      <c r="A262" s="3" t="s">
        <v>21</v>
      </c>
      <c r="B262" s="3" t="s">
        <v>33</v>
      </c>
      <c r="C262" s="3" t="s">
        <v>40</v>
      </c>
      <c r="D262" s="3" t="s">
        <v>39</v>
      </c>
      <c r="E262" s="3" t="s">
        <v>25</v>
      </c>
      <c r="F262" s="3" t="s">
        <v>25</v>
      </c>
      <c r="G262" s="3" t="s">
        <v>25</v>
      </c>
      <c r="H262" s="3" t="s">
        <v>38</v>
      </c>
      <c r="I262" s="6">
        <v>44593</v>
      </c>
      <c r="J262" s="4">
        <v>0</v>
      </c>
      <c r="K262" s="4">
        <v>0</v>
      </c>
      <c r="L262" s="4">
        <v>1.2609999999999999</v>
      </c>
      <c r="M262" s="4">
        <v>1.2609999999999999</v>
      </c>
      <c r="N262" s="4">
        <v>1.2609999999999999</v>
      </c>
      <c r="O262" s="4">
        <v>1.2609999999999999</v>
      </c>
      <c r="P262" s="4">
        <v>0</v>
      </c>
      <c r="Q262" s="3" t="s">
        <v>26</v>
      </c>
      <c r="R262" s="3">
        <v>0</v>
      </c>
      <c r="S262" s="4">
        <v>0</v>
      </c>
      <c r="T262" s="4">
        <v>45</v>
      </c>
      <c r="U262" s="4">
        <v>83</v>
      </c>
      <c r="V262" s="4">
        <f>IF(ISERROR(VLOOKUP($S$262,'TAR FIN'!$A$1:$O$88,15,0)),0,VLOOKUP($S$262,'TAR FIN'!$A$1:$O$88,15,0))</f>
        <v>0</v>
      </c>
      <c r="W262" s="4">
        <f>IF(ISERROR(VLOOKUP($T$262,'TAR FIN'!$A$1:$O$88,15,0)),0,VLOOKUP($T$262,'TAR FIN'!$A$1:$O$88,15,0))</f>
        <v>233.35</v>
      </c>
      <c r="X262" s="4">
        <f>IF(ISERROR(VLOOKUP($U$262,'TAR FIN'!$A$1:$O$88,15,0)),0,VLOOKUP($U$262,'TAR FIN'!$A$1:$O$88,15,0))</f>
        <v>242.35</v>
      </c>
      <c r="Y262" s="4"/>
      <c r="Z262" s="4">
        <f ca="1">('TUSD BE'!$AM$47+'TUSD BF'!$AM$47+'TUSD CVA'!$AM$47)*1</f>
        <v>341.52166134826473</v>
      </c>
      <c r="AA262" s="4">
        <f>('TE BE'!$AB$37+'TE BF'!$AB$37+'TE CVA'!$AB$37)*1</f>
        <v>191.00751406315655</v>
      </c>
      <c r="AB262" s="4">
        <f>$K$262*$V$262</f>
        <v>0</v>
      </c>
      <c r="AC262" s="4">
        <f>$M$262*$W$262</f>
        <v>294.25434999999999</v>
      </c>
      <c r="AD262" s="4">
        <f>$O$262*$X$262</f>
        <v>305.60334999999998</v>
      </c>
      <c r="AE262" s="4">
        <f>$K$262*$Y$262</f>
        <v>0</v>
      </c>
      <c r="AF262" s="4">
        <f ca="1">$M$262*$Z$262</f>
        <v>430.65881496016181</v>
      </c>
      <c r="AG262" s="4">
        <f>$O$262*$AA$262</f>
        <v>240.86047523364039</v>
      </c>
    </row>
    <row r="263" spans="1:33" ht="11.25" customHeight="1" x14ac:dyDescent="0.3">
      <c r="A263" s="3" t="s">
        <v>21</v>
      </c>
      <c r="B263" s="3" t="s">
        <v>33</v>
      </c>
      <c r="C263" s="3" t="s">
        <v>40</v>
      </c>
      <c r="D263" s="3" t="s">
        <v>39</v>
      </c>
      <c r="E263" s="3" t="s">
        <v>25</v>
      </c>
      <c r="F263" s="3" t="s">
        <v>25</v>
      </c>
      <c r="G263" s="3" t="s">
        <v>25</v>
      </c>
      <c r="H263" s="3" t="s">
        <v>38</v>
      </c>
      <c r="I263" s="6">
        <v>44621</v>
      </c>
      <c r="J263" s="4">
        <v>0</v>
      </c>
      <c r="K263" s="4">
        <v>0</v>
      </c>
      <c r="L263" s="4">
        <v>0.97199999999999998</v>
      </c>
      <c r="M263" s="4">
        <v>0.97199999999999998</v>
      </c>
      <c r="N263" s="4">
        <v>0.97199999999999998</v>
      </c>
      <c r="O263" s="4">
        <v>0.97199999999999998</v>
      </c>
      <c r="P263" s="4">
        <v>0</v>
      </c>
      <c r="Q263" s="3" t="s">
        <v>26</v>
      </c>
      <c r="R263" s="3">
        <v>0</v>
      </c>
      <c r="S263" s="4">
        <v>0</v>
      </c>
      <c r="T263" s="4">
        <v>45</v>
      </c>
      <c r="U263" s="4">
        <v>83</v>
      </c>
      <c r="V263" s="4">
        <f>IF(ISERROR(VLOOKUP($S$263,'TAR FIN'!$A$1:$O$88,15,0)),0,VLOOKUP($S$263,'TAR FIN'!$A$1:$O$88,15,0))</f>
        <v>0</v>
      </c>
      <c r="W263" s="4">
        <f>IF(ISERROR(VLOOKUP($T$263,'TAR FIN'!$A$1:$O$88,15,0)),0,VLOOKUP($T$263,'TAR FIN'!$A$1:$O$88,15,0))</f>
        <v>233.35</v>
      </c>
      <c r="X263" s="4">
        <f>IF(ISERROR(VLOOKUP($U$263,'TAR FIN'!$A$1:$O$88,15,0)),0,VLOOKUP($U$263,'TAR FIN'!$A$1:$O$88,15,0))</f>
        <v>242.35</v>
      </c>
      <c r="Y263" s="4"/>
      <c r="Z263" s="4">
        <f ca="1">('TUSD BE'!$AM$47+'TUSD BF'!$AM$47+'TUSD CVA'!$AM$47)*1</f>
        <v>341.52166134826473</v>
      </c>
      <c r="AA263" s="4">
        <f>('TE BE'!$AB$37+'TE BF'!$AB$37+'TE CVA'!$AB$37)*1</f>
        <v>191.00751406315655</v>
      </c>
      <c r="AB263" s="4">
        <f>$K$263*$V$263</f>
        <v>0</v>
      </c>
      <c r="AC263" s="4">
        <f>$M$263*$W$263</f>
        <v>226.81619999999998</v>
      </c>
      <c r="AD263" s="4">
        <f>$O$263*$X$263</f>
        <v>235.5642</v>
      </c>
      <c r="AE263" s="4">
        <f>$K$263*$Y$263</f>
        <v>0</v>
      </c>
      <c r="AF263" s="4">
        <f ca="1">$M$263*$Z$263</f>
        <v>331.95905483051331</v>
      </c>
      <c r="AG263" s="4">
        <f>$O$263*$AA$263</f>
        <v>185.65930366938815</v>
      </c>
    </row>
    <row r="264" spans="1:33" ht="11.25" customHeight="1" x14ac:dyDescent="0.3">
      <c r="A264" s="3" t="s">
        <v>21</v>
      </c>
      <c r="B264" s="3" t="s">
        <v>33</v>
      </c>
      <c r="C264" s="3" t="s">
        <v>40</v>
      </c>
      <c r="D264" s="3" t="s">
        <v>39</v>
      </c>
      <c r="E264" s="3" t="s">
        <v>25</v>
      </c>
      <c r="F264" s="3" t="s">
        <v>25</v>
      </c>
      <c r="G264" s="3" t="s">
        <v>25</v>
      </c>
      <c r="H264" s="3" t="s">
        <v>38</v>
      </c>
      <c r="I264" s="6">
        <v>44652</v>
      </c>
      <c r="J264" s="4">
        <v>0</v>
      </c>
      <c r="K264" s="4">
        <v>0</v>
      </c>
      <c r="L264" s="4">
        <v>0.91200000000000003</v>
      </c>
      <c r="M264" s="4">
        <v>0.91200000000000003</v>
      </c>
      <c r="N264" s="4">
        <v>0.91200000000000003</v>
      </c>
      <c r="O264" s="4">
        <v>0.91200000000000003</v>
      </c>
      <c r="P264" s="4">
        <v>0</v>
      </c>
      <c r="Q264" s="3" t="s">
        <v>26</v>
      </c>
      <c r="R264" s="3">
        <v>0</v>
      </c>
      <c r="S264" s="4">
        <v>0</v>
      </c>
      <c r="T264" s="4">
        <v>45</v>
      </c>
      <c r="U264" s="4">
        <v>83</v>
      </c>
      <c r="V264" s="4">
        <f>IF(ISERROR(VLOOKUP($S$264,'TAR FIN'!$A$1:$O$88,15,0)),0,VLOOKUP($S$264,'TAR FIN'!$A$1:$O$88,15,0))</f>
        <v>0</v>
      </c>
      <c r="W264" s="4">
        <f>IF(ISERROR(VLOOKUP($T$264,'TAR FIN'!$A$1:$O$88,15,0)),0,VLOOKUP($T$264,'TAR FIN'!$A$1:$O$88,15,0))</f>
        <v>233.35</v>
      </c>
      <c r="X264" s="4">
        <f>IF(ISERROR(VLOOKUP($U$264,'TAR FIN'!$A$1:$O$88,15,0)),0,VLOOKUP($U$264,'TAR FIN'!$A$1:$O$88,15,0))</f>
        <v>242.35</v>
      </c>
      <c r="Y264" s="4"/>
      <c r="Z264" s="4">
        <f ca="1">('TUSD BE'!$AM$47+'TUSD BF'!$AM$47+'TUSD CVA'!$AM$47)*1</f>
        <v>341.52166134826473</v>
      </c>
      <c r="AA264" s="4">
        <f>('TE BE'!$AB$37+'TE BF'!$AB$37+'TE CVA'!$AB$37)*1</f>
        <v>191.00751406315655</v>
      </c>
      <c r="AB264" s="4">
        <f>$K$264*$V$264</f>
        <v>0</v>
      </c>
      <c r="AC264" s="4">
        <f>$M$264*$W$264</f>
        <v>212.8152</v>
      </c>
      <c r="AD264" s="4">
        <f>$O$264*$X$264</f>
        <v>221.0232</v>
      </c>
      <c r="AE264" s="4">
        <f>$K$264*$Y$264</f>
        <v>0</v>
      </c>
      <c r="AF264" s="4">
        <f ca="1">$M$264*$Z$264</f>
        <v>311.46775514961746</v>
      </c>
      <c r="AG264" s="4">
        <f>$O$264*$AA$264</f>
        <v>174.19885282559878</v>
      </c>
    </row>
    <row r="265" spans="1:33" ht="11.25" customHeight="1" x14ac:dyDescent="0.3">
      <c r="A265" s="3" t="s">
        <v>21</v>
      </c>
      <c r="B265" s="3" t="s">
        <v>33</v>
      </c>
      <c r="C265" s="3" t="s">
        <v>40</v>
      </c>
      <c r="D265" s="3" t="s">
        <v>39</v>
      </c>
      <c r="E265" s="3" t="s">
        <v>25</v>
      </c>
      <c r="F265" s="3" t="s">
        <v>25</v>
      </c>
      <c r="G265" s="3" t="s">
        <v>25</v>
      </c>
      <c r="H265" s="3" t="s">
        <v>38</v>
      </c>
      <c r="I265" s="6">
        <v>44682</v>
      </c>
      <c r="J265" s="4">
        <v>0</v>
      </c>
      <c r="K265" s="4">
        <v>0</v>
      </c>
      <c r="L265" s="4">
        <v>0.84199999999999997</v>
      </c>
      <c r="M265" s="4">
        <v>0.84199999999999997</v>
      </c>
      <c r="N265" s="4">
        <v>0.84199999999999997</v>
      </c>
      <c r="O265" s="4">
        <v>0.84199999999999997</v>
      </c>
      <c r="P265" s="4">
        <v>0</v>
      </c>
      <c r="Q265" s="3" t="s">
        <v>26</v>
      </c>
      <c r="R265" s="3">
        <v>0</v>
      </c>
      <c r="S265" s="4">
        <v>0</v>
      </c>
      <c r="T265" s="4">
        <v>45</v>
      </c>
      <c r="U265" s="4">
        <v>83</v>
      </c>
      <c r="V265" s="4">
        <f>IF(ISERROR(VLOOKUP($S$265,'TAR FIN'!$A$1:$O$88,15,0)),0,VLOOKUP($S$265,'TAR FIN'!$A$1:$O$88,15,0))</f>
        <v>0</v>
      </c>
      <c r="W265" s="4">
        <f>IF(ISERROR(VLOOKUP($T$265,'TAR FIN'!$A$1:$O$88,15,0)),0,VLOOKUP($T$265,'TAR FIN'!$A$1:$O$88,15,0))</f>
        <v>233.35</v>
      </c>
      <c r="X265" s="4">
        <f>IF(ISERROR(VLOOKUP($U$265,'TAR FIN'!$A$1:$O$88,15,0)),0,VLOOKUP($U$265,'TAR FIN'!$A$1:$O$88,15,0))</f>
        <v>242.35</v>
      </c>
      <c r="Y265" s="4"/>
      <c r="Z265" s="4">
        <f ca="1">('TUSD BE'!$AM$47+'TUSD BF'!$AM$47+'TUSD CVA'!$AM$47)*1</f>
        <v>341.52166134826473</v>
      </c>
      <c r="AA265" s="4">
        <f>('TE BE'!$AB$37+'TE BF'!$AB$37+'TE CVA'!$AB$37)*1</f>
        <v>191.00751406315655</v>
      </c>
      <c r="AB265" s="4">
        <f>$K$265*$V$265</f>
        <v>0</v>
      </c>
      <c r="AC265" s="4">
        <f>$M$265*$W$265</f>
        <v>196.48069999999998</v>
      </c>
      <c r="AD265" s="4">
        <f>$O$265*$X$265</f>
        <v>204.05869999999999</v>
      </c>
      <c r="AE265" s="4">
        <f>$K$265*$Y$265</f>
        <v>0</v>
      </c>
      <c r="AF265" s="4">
        <f ca="1">$M$265*$Z$265</f>
        <v>287.56123885523891</v>
      </c>
      <c r="AG265" s="4">
        <f>$O$265*$AA$265</f>
        <v>160.82832684117781</v>
      </c>
    </row>
    <row r="266" spans="1:33" ht="11.25" customHeight="1" x14ac:dyDescent="0.3">
      <c r="A266" s="3" t="s">
        <v>21</v>
      </c>
      <c r="B266" s="3" t="s">
        <v>33</v>
      </c>
      <c r="C266" s="3" t="s">
        <v>40</v>
      </c>
      <c r="D266" s="3" t="s">
        <v>39</v>
      </c>
      <c r="E266" s="3" t="s">
        <v>25</v>
      </c>
      <c r="F266" s="3" t="s">
        <v>25</v>
      </c>
      <c r="G266" s="3" t="s">
        <v>25</v>
      </c>
      <c r="H266" s="3" t="s">
        <v>38</v>
      </c>
      <c r="I266" s="6">
        <v>44713</v>
      </c>
      <c r="J266" s="4">
        <v>0</v>
      </c>
      <c r="K266" s="4">
        <v>0</v>
      </c>
      <c r="L266" s="4">
        <v>0.79100000000000004</v>
      </c>
      <c r="M266" s="4">
        <v>0.79100000000000004</v>
      </c>
      <c r="N266" s="4">
        <v>0.79100000000000004</v>
      </c>
      <c r="O266" s="4">
        <v>0.79100000000000004</v>
      </c>
      <c r="P266" s="4">
        <v>0</v>
      </c>
      <c r="Q266" s="3" t="s">
        <v>26</v>
      </c>
      <c r="R266" s="3">
        <v>0</v>
      </c>
      <c r="S266" s="4">
        <v>0</v>
      </c>
      <c r="T266" s="4">
        <v>45</v>
      </c>
      <c r="U266" s="4">
        <v>83</v>
      </c>
      <c r="V266" s="4">
        <f>IF(ISERROR(VLOOKUP($S$266,'TAR FIN'!$A$1:$O$88,15,0)),0,VLOOKUP($S$266,'TAR FIN'!$A$1:$O$88,15,0))</f>
        <v>0</v>
      </c>
      <c r="W266" s="4">
        <f>IF(ISERROR(VLOOKUP($T$266,'TAR FIN'!$A$1:$O$88,15,0)),0,VLOOKUP($T$266,'TAR FIN'!$A$1:$O$88,15,0))</f>
        <v>233.35</v>
      </c>
      <c r="X266" s="4">
        <f>IF(ISERROR(VLOOKUP($U$266,'TAR FIN'!$A$1:$O$88,15,0)),0,VLOOKUP($U$266,'TAR FIN'!$A$1:$O$88,15,0))</f>
        <v>242.35</v>
      </c>
      <c r="Y266" s="4"/>
      <c r="Z266" s="4">
        <f ca="1">('TUSD BE'!$AM$47+'TUSD BF'!$AM$47+'TUSD CVA'!$AM$47)*1</f>
        <v>341.52166134826473</v>
      </c>
      <c r="AA266" s="4">
        <f>('TE BE'!$AB$37+'TE BF'!$AB$37+'TE CVA'!$AB$37)*1</f>
        <v>191.00751406315655</v>
      </c>
      <c r="AB266" s="4">
        <f>$K$266*$V$266</f>
        <v>0</v>
      </c>
      <c r="AC266" s="4">
        <f>$M$266*$W$266</f>
        <v>184.57984999999999</v>
      </c>
      <c r="AD266" s="4">
        <f>$O$266*$X$266</f>
        <v>191.69884999999999</v>
      </c>
      <c r="AE266" s="4">
        <f>$K$266*$Y$266</f>
        <v>0</v>
      </c>
      <c r="AF266" s="4">
        <f ca="1">$M$266*$Z$266</f>
        <v>270.14363412647742</v>
      </c>
      <c r="AG266" s="4">
        <f>$O$266*$AA$266</f>
        <v>151.08694362395684</v>
      </c>
    </row>
    <row r="267" spans="1:33" ht="11.25" customHeight="1" x14ac:dyDescent="0.3">
      <c r="A267" s="3" t="s">
        <v>21</v>
      </c>
      <c r="B267" s="3" t="s">
        <v>33</v>
      </c>
      <c r="C267" s="3" t="s">
        <v>40</v>
      </c>
      <c r="D267" s="3" t="s">
        <v>39</v>
      </c>
      <c r="E267" s="3" t="s">
        <v>25</v>
      </c>
      <c r="F267" s="3" t="s">
        <v>25</v>
      </c>
      <c r="G267" s="3" t="s">
        <v>25</v>
      </c>
      <c r="H267" s="3" t="s">
        <v>38</v>
      </c>
      <c r="I267" s="6">
        <v>44743</v>
      </c>
      <c r="J267" s="4">
        <v>0</v>
      </c>
      <c r="K267" s="4">
        <v>0</v>
      </c>
      <c r="L267" s="4">
        <v>0.74099999999999999</v>
      </c>
      <c r="M267" s="4">
        <v>0.74099999999999999</v>
      </c>
      <c r="N267" s="4">
        <v>0.74099999999999999</v>
      </c>
      <c r="O267" s="4">
        <v>0.74099999999999999</v>
      </c>
      <c r="P267" s="4">
        <v>0</v>
      </c>
      <c r="Q267" s="3" t="s">
        <v>26</v>
      </c>
      <c r="R267" s="3">
        <v>0</v>
      </c>
      <c r="S267" s="4">
        <v>0</v>
      </c>
      <c r="T267" s="4">
        <v>45</v>
      </c>
      <c r="U267" s="4">
        <v>83</v>
      </c>
      <c r="V267" s="4">
        <f>IF(ISERROR(VLOOKUP($S$267,'TAR FIN'!$A$1:$O$88,15,0)),0,VLOOKUP($S$267,'TAR FIN'!$A$1:$O$88,15,0))</f>
        <v>0</v>
      </c>
      <c r="W267" s="4">
        <f>IF(ISERROR(VLOOKUP($T$267,'TAR FIN'!$A$1:$O$88,15,0)),0,VLOOKUP($T$267,'TAR FIN'!$A$1:$O$88,15,0))</f>
        <v>233.35</v>
      </c>
      <c r="X267" s="4">
        <f>IF(ISERROR(VLOOKUP($U$267,'TAR FIN'!$A$1:$O$88,15,0)),0,VLOOKUP($U$267,'TAR FIN'!$A$1:$O$88,15,0))</f>
        <v>242.35</v>
      </c>
      <c r="Y267" s="4"/>
      <c r="Z267" s="4">
        <f ca="1">('TUSD BE'!$AM$47+'TUSD BF'!$AM$47+'TUSD CVA'!$AM$47)*1</f>
        <v>341.52166134826473</v>
      </c>
      <c r="AA267" s="4">
        <f>('TE BE'!$AB$37+'TE BF'!$AB$37+'TE CVA'!$AB$37)*1</f>
        <v>191.00751406315655</v>
      </c>
      <c r="AB267" s="4">
        <f>$K$267*$V$267</f>
        <v>0</v>
      </c>
      <c r="AC267" s="4">
        <f>$M$267*$W$267</f>
        <v>172.91235</v>
      </c>
      <c r="AD267" s="4">
        <f>$O$267*$X$267</f>
        <v>179.58134999999999</v>
      </c>
      <c r="AE267" s="4">
        <f>$K$267*$Y$267</f>
        <v>0</v>
      </c>
      <c r="AF267" s="4">
        <f ca="1">$M$267*$Z$267</f>
        <v>253.06755105906416</v>
      </c>
      <c r="AG267" s="4">
        <f>$O$267*$AA$267</f>
        <v>141.536567920799</v>
      </c>
    </row>
    <row r="268" spans="1:33" ht="11.25" customHeight="1" x14ac:dyDescent="0.3">
      <c r="A268" s="3" t="s">
        <v>55</v>
      </c>
      <c r="B268" s="3" t="s">
        <v>33</v>
      </c>
      <c r="C268" s="3" t="s">
        <v>40</v>
      </c>
      <c r="D268" s="3" t="s">
        <v>39</v>
      </c>
      <c r="E268" s="3" t="s">
        <v>25</v>
      </c>
      <c r="F268" s="3" t="s">
        <v>25</v>
      </c>
      <c r="G268" s="3" t="s">
        <v>25</v>
      </c>
      <c r="H268" s="3" t="s">
        <v>38</v>
      </c>
      <c r="I268" s="6">
        <v>44774</v>
      </c>
      <c r="J268" s="4">
        <v>0</v>
      </c>
      <c r="K268" s="4">
        <v>0</v>
      </c>
      <c r="L268" s="4">
        <v>0.74099999999999999</v>
      </c>
      <c r="M268" s="4">
        <v>0.74099999999999999</v>
      </c>
      <c r="N268" s="4">
        <v>0.74099999999999999</v>
      </c>
      <c r="O268" s="4">
        <v>0.74099999999999999</v>
      </c>
      <c r="P268" s="4">
        <v>0</v>
      </c>
      <c r="Q268" s="3" t="s">
        <v>26</v>
      </c>
      <c r="R268" s="3">
        <v>0</v>
      </c>
      <c r="S268" s="4">
        <v>0</v>
      </c>
      <c r="T268" s="4">
        <v>45</v>
      </c>
      <c r="U268" s="4">
        <v>83</v>
      </c>
      <c r="V268" s="4">
        <f>IF(ISERROR(VLOOKUP($S$268,'TAR FIN'!$A$1:$O$88,15,0)),0,VLOOKUP($S$268,'TAR FIN'!$A$1:$O$88,15,0))</f>
        <v>0</v>
      </c>
      <c r="W268" s="4">
        <f>IF(ISERROR(VLOOKUP($T$268,'TAR FIN'!$A$1:$O$88,15,0)),0,VLOOKUP($T$268,'TAR FIN'!$A$1:$O$88,15,0))</f>
        <v>233.35</v>
      </c>
      <c r="X268" s="4">
        <f>IF(ISERROR(VLOOKUP($U$268,'TAR FIN'!$A$1:$O$88,15,0)),0,VLOOKUP($U$268,'TAR FIN'!$A$1:$O$88,15,0))</f>
        <v>242.35</v>
      </c>
      <c r="Y268" s="4"/>
      <c r="Z268" s="4">
        <f ca="1">('TUSD BE'!$AM$47+'TUSD BF'!$AM$47+'TUSD CVA'!$AM$47)*1</f>
        <v>341.52166134826473</v>
      </c>
      <c r="AA268" s="4">
        <f>('TE BE'!$AB$37+'TE BF'!$AB$37+'TE CVA'!$AB$37)*1</f>
        <v>191.00751406315655</v>
      </c>
      <c r="AB268" s="4">
        <f>$K$268*$V$268</f>
        <v>0</v>
      </c>
      <c r="AC268" s="4">
        <f>$M$268*$W$268</f>
        <v>172.91235</v>
      </c>
      <c r="AD268" s="4">
        <f>$O$268*$X$268</f>
        <v>179.58134999999999</v>
      </c>
      <c r="AE268" s="4">
        <f>$K$268*$Y$268</f>
        <v>0</v>
      </c>
      <c r="AF268" s="4">
        <f ca="1">$M$268*$Z$268</f>
        <v>253.06755105906416</v>
      </c>
      <c r="AG268" s="4">
        <f>$O$268*$AA$268</f>
        <v>141.536567920799</v>
      </c>
    </row>
    <row r="269" spans="1:33" ht="11.25" customHeight="1" x14ac:dyDescent="0.3">
      <c r="A269" s="3" t="s">
        <v>21</v>
      </c>
      <c r="B269" s="3" t="s">
        <v>33</v>
      </c>
      <c r="C269" s="3" t="s">
        <v>40</v>
      </c>
      <c r="D269" s="3" t="s">
        <v>39</v>
      </c>
      <c r="E269" s="3" t="s">
        <v>25</v>
      </c>
      <c r="F269" s="3" t="s">
        <v>25</v>
      </c>
      <c r="G269" s="3" t="s">
        <v>25</v>
      </c>
      <c r="H269" s="3" t="s">
        <v>41</v>
      </c>
      <c r="I269" s="6">
        <v>44440</v>
      </c>
      <c r="J269" s="4">
        <v>0</v>
      </c>
      <c r="K269" s="4">
        <v>0</v>
      </c>
      <c r="L269" s="4">
        <v>3.2000000000000001E-2</v>
      </c>
      <c r="M269" s="4">
        <v>3.2000000000000001E-2</v>
      </c>
      <c r="N269" s="4">
        <v>3.2000000000000001E-2</v>
      </c>
      <c r="O269" s="4">
        <v>3.2000000000000001E-2</v>
      </c>
      <c r="P269" s="4">
        <v>0</v>
      </c>
      <c r="Q269" s="3" t="s">
        <v>26</v>
      </c>
      <c r="R269" s="3">
        <v>0</v>
      </c>
      <c r="S269" s="4">
        <v>0</v>
      </c>
      <c r="T269" s="4">
        <v>44</v>
      </c>
      <c r="U269" s="4">
        <v>82</v>
      </c>
      <c r="V269" s="4">
        <f>IF(ISERROR(VLOOKUP($S$269,'TAR FIN'!$A$1:$O$88,15,0)),0,VLOOKUP($S$269,'TAR FIN'!$A$1:$O$88,15,0))</f>
        <v>0</v>
      </c>
      <c r="W269" s="4">
        <f>IF(ISERROR(VLOOKUP($T$269,'TAR FIN'!$A$1:$O$88,15,0)),0,VLOOKUP($T$269,'TAR FIN'!$A$1:$O$88,15,0))</f>
        <v>557.55999999999995</v>
      </c>
      <c r="X269" s="4">
        <f>IF(ISERROR(VLOOKUP($U$269,'TAR FIN'!$A$1:$O$88,15,0)),0,VLOOKUP($U$269,'TAR FIN'!$A$1:$O$88,15,0))</f>
        <v>242.35</v>
      </c>
      <c r="Y269" s="4"/>
      <c r="Z269" s="4">
        <f ca="1">('TUSD BE'!$AM$46+'TUSD BF'!$AM$46+'TUSD CVA'!$AM$46)*1</f>
        <v>815.58223086282692</v>
      </c>
      <c r="AA269" s="4">
        <f>('TE BE'!$AB$36+'TE BF'!$AB$36+'TE CVA'!$AB$36)*1</f>
        <v>191.00751406315655</v>
      </c>
      <c r="AB269" s="4">
        <f>$K$269*$V$269</f>
        <v>0</v>
      </c>
      <c r="AC269" s="4">
        <f>$M$269*$W$269</f>
        <v>17.841919999999998</v>
      </c>
      <c r="AD269" s="4">
        <f>$O$269*$X$269</f>
        <v>7.7552000000000003</v>
      </c>
      <c r="AE269" s="4">
        <f>$K$269*$Y$269</f>
        <v>0</v>
      </c>
      <c r="AF269" s="4">
        <f ca="1">$M$269*$Z$269</f>
        <v>26.09863138761046</v>
      </c>
      <c r="AG269" s="4">
        <f>$O$269*$AA$269</f>
        <v>6.1122404500210097</v>
      </c>
    </row>
    <row r="270" spans="1:33" ht="11.25" customHeight="1" x14ac:dyDescent="0.3">
      <c r="A270" s="3" t="s">
        <v>21</v>
      </c>
      <c r="B270" s="3" t="s">
        <v>33</v>
      </c>
      <c r="C270" s="3" t="s">
        <v>40</v>
      </c>
      <c r="D270" s="3" t="s">
        <v>39</v>
      </c>
      <c r="E270" s="3" t="s">
        <v>25</v>
      </c>
      <c r="F270" s="3" t="s">
        <v>25</v>
      </c>
      <c r="G270" s="3" t="s">
        <v>25</v>
      </c>
      <c r="H270" s="3" t="s">
        <v>41</v>
      </c>
      <c r="I270" s="6">
        <v>44470</v>
      </c>
      <c r="J270" s="4">
        <v>0</v>
      </c>
      <c r="K270" s="4">
        <v>0</v>
      </c>
      <c r="L270" s="4">
        <v>3.5000000000000003E-2</v>
      </c>
      <c r="M270" s="4">
        <v>3.5000000000000003E-2</v>
      </c>
      <c r="N270" s="4">
        <v>3.5000000000000003E-2</v>
      </c>
      <c r="O270" s="4">
        <v>3.5000000000000003E-2</v>
      </c>
      <c r="P270" s="4">
        <v>0</v>
      </c>
      <c r="Q270" s="3" t="s">
        <v>26</v>
      </c>
      <c r="R270" s="3">
        <v>0</v>
      </c>
      <c r="S270" s="4">
        <v>0</v>
      </c>
      <c r="T270" s="4">
        <v>44</v>
      </c>
      <c r="U270" s="4">
        <v>82</v>
      </c>
      <c r="V270" s="4">
        <f>IF(ISERROR(VLOOKUP($S$270,'TAR FIN'!$A$1:$O$88,15,0)),0,VLOOKUP($S$270,'TAR FIN'!$A$1:$O$88,15,0))</f>
        <v>0</v>
      </c>
      <c r="W270" s="4">
        <f>IF(ISERROR(VLOOKUP($T$270,'TAR FIN'!$A$1:$O$88,15,0)),0,VLOOKUP($T$270,'TAR FIN'!$A$1:$O$88,15,0))</f>
        <v>557.55999999999995</v>
      </c>
      <c r="X270" s="4">
        <f>IF(ISERROR(VLOOKUP($U$270,'TAR FIN'!$A$1:$O$88,15,0)),0,VLOOKUP($U$270,'TAR FIN'!$A$1:$O$88,15,0))</f>
        <v>242.35</v>
      </c>
      <c r="Y270" s="4"/>
      <c r="Z270" s="4">
        <f ca="1">('TUSD BE'!$AM$46+'TUSD BF'!$AM$46+'TUSD CVA'!$AM$46)*1</f>
        <v>815.58223086282692</v>
      </c>
      <c r="AA270" s="4">
        <f>('TE BE'!$AB$36+'TE BF'!$AB$36+'TE CVA'!$AB$36)*1</f>
        <v>191.00751406315655</v>
      </c>
      <c r="AB270" s="4">
        <f>$K$270*$V$270</f>
        <v>0</v>
      </c>
      <c r="AC270" s="4">
        <f>$M$270*$W$270</f>
        <v>19.514600000000002</v>
      </c>
      <c r="AD270" s="4">
        <f>$O$270*$X$270</f>
        <v>8.4822500000000005</v>
      </c>
      <c r="AE270" s="4">
        <f>$K$270*$Y$270</f>
        <v>0</v>
      </c>
      <c r="AF270" s="4">
        <f ca="1">$M$270*$Z$270</f>
        <v>28.545378080198944</v>
      </c>
      <c r="AG270" s="4">
        <f>$O$270*$AA$270</f>
        <v>6.6852629922104798</v>
      </c>
    </row>
    <row r="271" spans="1:33" ht="11.25" customHeight="1" x14ac:dyDescent="0.3">
      <c r="A271" s="3" t="s">
        <v>21</v>
      </c>
      <c r="B271" s="3" t="s">
        <v>33</v>
      </c>
      <c r="C271" s="3" t="s">
        <v>40</v>
      </c>
      <c r="D271" s="3" t="s">
        <v>39</v>
      </c>
      <c r="E271" s="3" t="s">
        <v>25</v>
      </c>
      <c r="F271" s="3" t="s">
        <v>25</v>
      </c>
      <c r="G271" s="3" t="s">
        <v>25</v>
      </c>
      <c r="H271" s="3" t="s">
        <v>41</v>
      </c>
      <c r="I271" s="6">
        <v>44501</v>
      </c>
      <c r="J271" s="4">
        <v>0</v>
      </c>
      <c r="K271" s="4">
        <v>0</v>
      </c>
      <c r="L271" s="4">
        <v>3.4000000000000002E-2</v>
      </c>
      <c r="M271" s="4">
        <v>3.4000000000000002E-2</v>
      </c>
      <c r="N271" s="4">
        <v>3.4000000000000002E-2</v>
      </c>
      <c r="O271" s="4">
        <v>3.4000000000000002E-2</v>
      </c>
      <c r="P271" s="4">
        <v>0</v>
      </c>
      <c r="Q271" s="3" t="s">
        <v>26</v>
      </c>
      <c r="R271" s="3">
        <v>0</v>
      </c>
      <c r="S271" s="4">
        <v>0</v>
      </c>
      <c r="T271" s="4">
        <v>44</v>
      </c>
      <c r="U271" s="4">
        <v>82</v>
      </c>
      <c r="V271" s="4">
        <f>IF(ISERROR(VLOOKUP($S$271,'TAR FIN'!$A$1:$O$88,15,0)),0,VLOOKUP($S$271,'TAR FIN'!$A$1:$O$88,15,0))</f>
        <v>0</v>
      </c>
      <c r="W271" s="4">
        <f>IF(ISERROR(VLOOKUP($T$271,'TAR FIN'!$A$1:$O$88,15,0)),0,VLOOKUP($T$271,'TAR FIN'!$A$1:$O$88,15,0))</f>
        <v>557.55999999999995</v>
      </c>
      <c r="X271" s="4">
        <f>IF(ISERROR(VLOOKUP($U$271,'TAR FIN'!$A$1:$O$88,15,0)),0,VLOOKUP($U$271,'TAR FIN'!$A$1:$O$88,15,0))</f>
        <v>242.35</v>
      </c>
      <c r="Y271" s="4"/>
      <c r="Z271" s="4">
        <f ca="1">('TUSD BE'!$AM$46+'TUSD BF'!$AM$46+'TUSD CVA'!$AM$46)*1</f>
        <v>815.58223086282692</v>
      </c>
      <c r="AA271" s="4">
        <f>('TE BE'!$AB$36+'TE BF'!$AB$36+'TE CVA'!$AB$36)*1</f>
        <v>191.00751406315655</v>
      </c>
      <c r="AB271" s="4">
        <f>$K$271*$V$271</f>
        <v>0</v>
      </c>
      <c r="AC271" s="4">
        <f>$M$271*$W$271</f>
        <v>18.957039999999999</v>
      </c>
      <c r="AD271" s="4">
        <f>$O$271*$X$271</f>
        <v>8.2399000000000004</v>
      </c>
      <c r="AE271" s="4">
        <f>$K$271*$Y$271</f>
        <v>0</v>
      </c>
      <c r="AF271" s="4">
        <f ca="1">$M$271*$Z$271</f>
        <v>27.729795849336117</v>
      </c>
      <c r="AG271" s="4">
        <f>$O$271*$AA$271</f>
        <v>6.4942554781473234</v>
      </c>
    </row>
    <row r="272" spans="1:33" ht="11.25" customHeight="1" x14ac:dyDescent="0.3">
      <c r="A272" s="3" t="s">
        <v>21</v>
      </c>
      <c r="B272" s="3" t="s">
        <v>33</v>
      </c>
      <c r="C272" s="3" t="s">
        <v>40</v>
      </c>
      <c r="D272" s="3" t="s">
        <v>39</v>
      </c>
      <c r="E272" s="3" t="s">
        <v>25</v>
      </c>
      <c r="F272" s="3" t="s">
        <v>25</v>
      </c>
      <c r="G272" s="3" t="s">
        <v>25</v>
      </c>
      <c r="H272" s="3" t="s">
        <v>41</v>
      </c>
      <c r="I272" s="6">
        <v>44531</v>
      </c>
      <c r="J272" s="4">
        <v>0</v>
      </c>
      <c r="K272" s="4">
        <v>0</v>
      </c>
      <c r="L272" s="4">
        <v>3.7999999999999999E-2</v>
      </c>
      <c r="M272" s="4">
        <v>3.7999999999999999E-2</v>
      </c>
      <c r="N272" s="4">
        <v>3.7999999999999999E-2</v>
      </c>
      <c r="O272" s="4">
        <v>3.7999999999999999E-2</v>
      </c>
      <c r="P272" s="4">
        <v>0</v>
      </c>
      <c r="Q272" s="3" t="s">
        <v>26</v>
      </c>
      <c r="R272" s="3">
        <v>0</v>
      </c>
      <c r="S272" s="4">
        <v>0</v>
      </c>
      <c r="T272" s="4">
        <v>44</v>
      </c>
      <c r="U272" s="4">
        <v>82</v>
      </c>
      <c r="V272" s="4">
        <f>IF(ISERROR(VLOOKUP($S$272,'TAR FIN'!$A$1:$O$88,15,0)),0,VLOOKUP($S$272,'TAR FIN'!$A$1:$O$88,15,0))</f>
        <v>0</v>
      </c>
      <c r="W272" s="4">
        <f>IF(ISERROR(VLOOKUP($T$272,'TAR FIN'!$A$1:$O$88,15,0)),0,VLOOKUP($T$272,'TAR FIN'!$A$1:$O$88,15,0))</f>
        <v>557.55999999999995</v>
      </c>
      <c r="X272" s="4">
        <f>IF(ISERROR(VLOOKUP($U$272,'TAR FIN'!$A$1:$O$88,15,0)),0,VLOOKUP($U$272,'TAR FIN'!$A$1:$O$88,15,0))</f>
        <v>242.35</v>
      </c>
      <c r="Y272" s="4"/>
      <c r="Z272" s="4">
        <f ca="1">('TUSD BE'!$AM$46+'TUSD BF'!$AM$46+'TUSD CVA'!$AM$46)*1</f>
        <v>815.58223086282692</v>
      </c>
      <c r="AA272" s="4">
        <f>('TE BE'!$AB$36+'TE BF'!$AB$36+'TE CVA'!$AB$36)*1</f>
        <v>191.00751406315655</v>
      </c>
      <c r="AB272" s="4">
        <f>$K$272*$V$272</f>
        <v>0</v>
      </c>
      <c r="AC272" s="4">
        <f>$M$272*$W$272</f>
        <v>21.187279999999998</v>
      </c>
      <c r="AD272" s="4">
        <f>$O$272*$X$272</f>
        <v>9.2092999999999989</v>
      </c>
      <c r="AE272" s="4">
        <f>$K$272*$Y$272</f>
        <v>0</v>
      </c>
      <c r="AF272" s="4">
        <f ca="1">$M$272*$Z$272</f>
        <v>30.992124772787424</v>
      </c>
      <c r="AG272" s="4">
        <f>$O$272*$AA$272</f>
        <v>7.2582855343999491</v>
      </c>
    </row>
    <row r="273" spans="1:33" ht="11.25" customHeight="1" x14ac:dyDescent="0.3">
      <c r="A273" s="3" t="s">
        <v>21</v>
      </c>
      <c r="B273" s="3" t="s">
        <v>33</v>
      </c>
      <c r="C273" s="3" t="s">
        <v>40</v>
      </c>
      <c r="D273" s="3" t="s">
        <v>39</v>
      </c>
      <c r="E273" s="3" t="s">
        <v>25</v>
      </c>
      <c r="F273" s="3" t="s">
        <v>25</v>
      </c>
      <c r="G273" s="3" t="s">
        <v>25</v>
      </c>
      <c r="H273" s="3" t="s">
        <v>41</v>
      </c>
      <c r="I273" s="6">
        <v>44562</v>
      </c>
      <c r="J273" s="4">
        <v>0</v>
      </c>
      <c r="K273" s="4">
        <v>0</v>
      </c>
      <c r="L273" s="4">
        <v>0.05</v>
      </c>
      <c r="M273" s="4">
        <v>0.05</v>
      </c>
      <c r="N273" s="4">
        <v>0.05</v>
      </c>
      <c r="O273" s="4">
        <v>0.05</v>
      </c>
      <c r="P273" s="4">
        <v>0</v>
      </c>
      <c r="Q273" s="3" t="s">
        <v>26</v>
      </c>
      <c r="R273" s="3">
        <v>0</v>
      </c>
      <c r="S273" s="4">
        <v>0</v>
      </c>
      <c r="T273" s="4">
        <v>44</v>
      </c>
      <c r="U273" s="4">
        <v>82</v>
      </c>
      <c r="V273" s="4">
        <f>IF(ISERROR(VLOOKUP($S$273,'TAR FIN'!$A$1:$O$88,15,0)),0,VLOOKUP($S$273,'TAR FIN'!$A$1:$O$88,15,0))</f>
        <v>0</v>
      </c>
      <c r="W273" s="4">
        <f>IF(ISERROR(VLOOKUP($T$273,'TAR FIN'!$A$1:$O$88,15,0)),0,VLOOKUP($T$273,'TAR FIN'!$A$1:$O$88,15,0))</f>
        <v>557.55999999999995</v>
      </c>
      <c r="X273" s="4">
        <f>IF(ISERROR(VLOOKUP($U$273,'TAR FIN'!$A$1:$O$88,15,0)),0,VLOOKUP($U$273,'TAR FIN'!$A$1:$O$88,15,0))</f>
        <v>242.35</v>
      </c>
      <c r="Y273" s="4"/>
      <c r="Z273" s="4">
        <f ca="1">('TUSD BE'!$AM$46+'TUSD BF'!$AM$46+'TUSD CVA'!$AM$46)*1</f>
        <v>815.58223086282692</v>
      </c>
      <c r="AA273" s="4">
        <f>('TE BE'!$AB$36+'TE BF'!$AB$36+'TE CVA'!$AB$36)*1</f>
        <v>191.00751406315655</v>
      </c>
      <c r="AB273" s="4">
        <f>$K$273*$V$273</f>
        <v>0</v>
      </c>
      <c r="AC273" s="4">
        <f>$M$273*$W$273</f>
        <v>27.878</v>
      </c>
      <c r="AD273" s="4">
        <f>$O$273*$X$273</f>
        <v>12.1175</v>
      </c>
      <c r="AE273" s="4">
        <f>$K$273*$Y$273</f>
        <v>0</v>
      </c>
      <c r="AF273" s="4">
        <f ca="1">$M$273*$Z$273</f>
        <v>40.779111543141347</v>
      </c>
      <c r="AG273" s="4">
        <f>$O$273*$AA$273</f>
        <v>9.5503757031578278</v>
      </c>
    </row>
    <row r="274" spans="1:33" ht="11.25" customHeight="1" x14ac:dyDescent="0.3">
      <c r="A274" s="3" t="s">
        <v>21</v>
      </c>
      <c r="B274" s="3" t="s">
        <v>33</v>
      </c>
      <c r="C274" s="3" t="s">
        <v>40</v>
      </c>
      <c r="D274" s="3" t="s">
        <v>39</v>
      </c>
      <c r="E274" s="3" t="s">
        <v>25</v>
      </c>
      <c r="F274" s="3" t="s">
        <v>25</v>
      </c>
      <c r="G274" s="3" t="s">
        <v>25</v>
      </c>
      <c r="H274" s="3" t="s">
        <v>41</v>
      </c>
      <c r="I274" s="6">
        <v>44593</v>
      </c>
      <c r="J274" s="4">
        <v>0</v>
      </c>
      <c r="K274" s="4">
        <v>0</v>
      </c>
      <c r="L274" s="4">
        <v>6.9000000000000006E-2</v>
      </c>
      <c r="M274" s="4">
        <v>6.9000000000000006E-2</v>
      </c>
      <c r="N274" s="4">
        <v>6.9000000000000006E-2</v>
      </c>
      <c r="O274" s="4">
        <v>6.9000000000000006E-2</v>
      </c>
      <c r="P274" s="4">
        <v>0</v>
      </c>
      <c r="Q274" s="3" t="s">
        <v>26</v>
      </c>
      <c r="R274" s="3">
        <v>0</v>
      </c>
      <c r="S274" s="4">
        <v>0</v>
      </c>
      <c r="T274" s="4">
        <v>44</v>
      </c>
      <c r="U274" s="4">
        <v>82</v>
      </c>
      <c r="V274" s="4">
        <f>IF(ISERROR(VLOOKUP($S$274,'TAR FIN'!$A$1:$O$88,15,0)),0,VLOOKUP($S$274,'TAR FIN'!$A$1:$O$88,15,0))</f>
        <v>0</v>
      </c>
      <c r="W274" s="4">
        <f>IF(ISERROR(VLOOKUP($T$274,'TAR FIN'!$A$1:$O$88,15,0)),0,VLOOKUP($T$274,'TAR FIN'!$A$1:$O$88,15,0))</f>
        <v>557.55999999999995</v>
      </c>
      <c r="X274" s="4">
        <f>IF(ISERROR(VLOOKUP($U$274,'TAR FIN'!$A$1:$O$88,15,0)),0,VLOOKUP($U$274,'TAR FIN'!$A$1:$O$88,15,0))</f>
        <v>242.35</v>
      </c>
      <c r="Y274" s="4"/>
      <c r="Z274" s="4">
        <f ca="1">('TUSD BE'!$AM$46+'TUSD BF'!$AM$46+'TUSD CVA'!$AM$46)*1</f>
        <v>815.58223086282692</v>
      </c>
      <c r="AA274" s="4">
        <f>('TE BE'!$AB$36+'TE BF'!$AB$36+'TE CVA'!$AB$36)*1</f>
        <v>191.00751406315655</v>
      </c>
      <c r="AB274" s="4">
        <f>$K$274*$V$274</f>
        <v>0</v>
      </c>
      <c r="AC274" s="4">
        <f>$M$274*$W$274</f>
        <v>38.471640000000001</v>
      </c>
      <c r="AD274" s="4">
        <f>$O$274*$X$274</f>
        <v>16.722150000000003</v>
      </c>
      <c r="AE274" s="4">
        <f>$K$274*$Y$274</f>
        <v>0</v>
      </c>
      <c r="AF274" s="4">
        <f ca="1">$M$274*$Z$274</f>
        <v>56.275173929535065</v>
      </c>
      <c r="AG274" s="4">
        <f>$O$274*$AA$274</f>
        <v>13.179518470357802</v>
      </c>
    </row>
    <row r="275" spans="1:33" ht="11.25" customHeight="1" x14ac:dyDescent="0.3">
      <c r="A275" s="3" t="s">
        <v>21</v>
      </c>
      <c r="B275" s="3" t="s">
        <v>33</v>
      </c>
      <c r="C275" s="3" t="s">
        <v>40</v>
      </c>
      <c r="D275" s="3" t="s">
        <v>39</v>
      </c>
      <c r="E275" s="3" t="s">
        <v>25</v>
      </c>
      <c r="F275" s="3" t="s">
        <v>25</v>
      </c>
      <c r="G275" s="3" t="s">
        <v>25</v>
      </c>
      <c r="H275" s="3" t="s">
        <v>41</v>
      </c>
      <c r="I275" s="6">
        <v>44621</v>
      </c>
      <c r="J275" s="4">
        <v>0</v>
      </c>
      <c r="K275" s="4">
        <v>0</v>
      </c>
      <c r="L275" s="4">
        <v>5.1999999999999998E-2</v>
      </c>
      <c r="M275" s="4">
        <v>5.1999999999999998E-2</v>
      </c>
      <c r="N275" s="4">
        <v>5.1999999999999998E-2</v>
      </c>
      <c r="O275" s="4">
        <v>5.1999999999999998E-2</v>
      </c>
      <c r="P275" s="4">
        <v>0</v>
      </c>
      <c r="Q275" s="3" t="s">
        <v>26</v>
      </c>
      <c r="R275" s="3">
        <v>0</v>
      </c>
      <c r="S275" s="4">
        <v>0</v>
      </c>
      <c r="T275" s="4">
        <v>44</v>
      </c>
      <c r="U275" s="4">
        <v>82</v>
      </c>
      <c r="V275" s="4">
        <f>IF(ISERROR(VLOOKUP($S$275,'TAR FIN'!$A$1:$O$88,15,0)),0,VLOOKUP($S$275,'TAR FIN'!$A$1:$O$88,15,0))</f>
        <v>0</v>
      </c>
      <c r="W275" s="4">
        <f>IF(ISERROR(VLOOKUP($T$275,'TAR FIN'!$A$1:$O$88,15,0)),0,VLOOKUP($T$275,'TAR FIN'!$A$1:$O$88,15,0))</f>
        <v>557.55999999999995</v>
      </c>
      <c r="X275" s="4">
        <f>IF(ISERROR(VLOOKUP($U$275,'TAR FIN'!$A$1:$O$88,15,0)),0,VLOOKUP($U$275,'TAR FIN'!$A$1:$O$88,15,0))</f>
        <v>242.35</v>
      </c>
      <c r="Y275" s="4"/>
      <c r="Z275" s="4">
        <f ca="1">('TUSD BE'!$AM$46+'TUSD BF'!$AM$46+'TUSD CVA'!$AM$46)*1</f>
        <v>815.58223086282692</v>
      </c>
      <c r="AA275" s="4">
        <f>('TE BE'!$AB$36+'TE BF'!$AB$36+'TE CVA'!$AB$36)*1</f>
        <v>191.00751406315655</v>
      </c>
      <c r="AB275" s="4">
        <f>$K$275*$V$275</f>
        <v>0</v>
      </c>
      <c r="AC275" s="4">
        <f>$M$275*$W$275</f>
        <v>28.993119999999998</v>
      </c>
      <c r="AD275" s="4">
        <f>$O$275*$X$275</f>
        <v>12.6022</v>
      </c>
      <c r="AE275" s="4">
        <f>$K$275*$Y$275</f>
        <v>0</v>
      </c>
      <c r="AF275" s="4">
        <f ca="1">$M$275*$Z$275</f>
        <v>42.410276004867001</v>
      </c>
      <c r="AG275" s="4">
        <f>$O$275*$AA$275</f>
        <v>9.9323907312841406</v>
      </c>
    </row>
    <row r="276" spans="1:33" ht="11.25" customHeight="1" x14ac:dyDescent="0.3">
      <c r="A276" s="3" t="s">
        <v>21</v>
      </c>
      <c r="B276" s="3" t="s">
        <v>33</v>
      </c>
      <c r="C276" s="3" t="s">
        <v>40</v>
      </c>
      <c r="D276" s="3" t="s">
        <v>39</v>
      </c>
      <c r="E276" s="3" t="s">
        <v>25</v>
      </c>
      <c r="F276" s="3" t="s">
        <v>25</v>
      </c>
      <c r="G276" s="3" t="s">
        <v>25</v>
      </c>
      <c r="H276" s="3" t="s">
        <v>41</v>
      </c>
      <c r="I276" s="6">
        <v>44652</v>
      </c>
      <c r="J276" s="4">
        <v>0</v>
      </c>
      <c r="K276" s="4">
        <v>0</v>
      </c>
      <c r="L276" s="4">
        <v>5.7000000000000002E-2</v>
      </c>
      <c r="M276" s="4">
        <v>5.7000000000000002E-2</v>
      </c>
      <c r="N276" s="4">
        <v>5.7000000000000002E-2</v>
      </c>
      <c r="O276" s="4">
        <v>5.7000000000000002E-2</v>
      </c>
      <c r="P276" s="4">
        <v>0</v>
      </c>
      <c r="Q276" s="3" t="s">
        <v>26</v>
      </c>
      <c r="R276" s="3">
        <v>0</v>
      </c>
      <c r="S276" s="4">
        <v>0</v>
      </c>
      <c r="T276" s="4">
        <v>44</v>
      </c>
      <c r="U276" s="4">
        <v>82</v>
      </c>
      <c r="V276" s="4">
        <f>IF(ISERROR(VLOOKUP($S$276,'TAR FIN'!$A$1:$O$88,15,0)),0,VLOOKUP($S$276,'TAR FIN'!$A$1:$O$88,15,0))</f>
        <v>0</v>
      </c>
      <c r="W276" s="4">
        <f>IF(ISERROR(VLOOKUP($T$276,'TAR FIN'!$A$1:$O$88,15,0)),0,VLOOKUP($T$276,'TAR FIN'!$A$1:$O$88,15,0))</f>
        <v>557.55999999999995</v>
      </c>
      <c r="X276" s="4">
        <f>IF(ISERROR(VLOOKUP($U$276,'TAR FIN'!$A$1:$O$88,15,0)),0,VLOOKUP($U$276,'TAR FIN'!$A$1:$O$88,15,0))</f>
        <v>242.35</v>
      </c>
      <c r="Y276" s="4"/>
      <c r="Z276" s="4">
        <f ca="1">('TUSD BE'!$AM$46+'TUSD BF'!$AM$46+'TUSD CVA'!$AM$46)*1</f>
        <v>815.58223086282692</v>
      </c>
      <c r="AA276" s="4">
        <f>('TE BE'!$AB$36+'TE BF'!$AB$36+'TE CVA'!$AB$36)*1</f>
        <v>191.00751406315655</v>
      </c>
      <c r="AB276" s="4">
        <f>$K$276*$V$276</f>
        <v>0</v>
      </c>
      <c r="AC276" s="4">
        <f>$M$276*$W$276</f>
        <v>31.780919999999998</v>
      </c>
      <c r="AD276" s="4">
        <f>$O$276*$X$276</f>
        <v>13.81395</v>
      </c>
      <c r="AE276" s="4">
        <f>$K$276*$Y$276</f>
        <v>0</v>
      </c>
      <c r="AF276" s="4">
        <f ca="1">$M$276*$Z$276</f>
        <v>46.488187159181138</v>
      </c>
      <c r="AG276" s="4">
        <f>$O$276*$AA$276</f>
        <v>10.887428301599924</v>
      </c>
    </row>
    <row r="277" spans="1:33" ht="11.25" customHeight="1" x14ac:dyDescent="0.3">
      <c r="A277" s="3" t="s">
        <v>21</v>
      </c>
      <c r="B277" s="3" t="s">
        <v>33</v>
      </c>
      <c r="C277" s="3" t="s">
        <v>40</v>
      </c>
      <c r="D277" s="3" t="s">
        <v>39</v>
      </c>
      <c r="E277" s="3" t="s">
        <v>25</v>
      </c>
      <c r="F277" s="3" t="s">
        <v>25</v>
      </c>
      <c r="G277" s="3" t="s">
        <v>25</v>
      </c>
      <c r="H277" s="3" t="s">
        <v>41</v>
      </c>
      <c r="I277" s="6">
        <v>44682</v>
      </c>
      <c r="J277" s="4">
        <v>0</v>
      </c>
      <c r="K277" s="4">
        <v>0</v>
      </c>
      <c r="L277" s="4">
        <v>5.1999999999999998E-2</v>
      </c>
      <c r="M277" s="4">
        <v>5.1999999999999998E-2</v>
      </c>
      <c r="N277" s="4">
        <v>5.1999999999999998E-2</v>
      </c>
      <c r="O277" s="4">
        <v>5.1999999999999998E-2</v>
      </c>
      <c r="P277" s="4">
        <v>0</v>
      </c>
      <c r="Q277" s="3" t="s">
        <v>26</v>
      </c>
      <c r="R277" s="3">
        <v>0</v>
      </c>
      <c r="S277" s="4">
        <v>0</v>
      </c>
      <c r="T277" s="4">
        <v>44</v>
      </c>
      <c r="U277" s="4">
        <v>82</v>
      </c>
      <c r="V277" s="4">
        <f>IF(ISERROR(VLOOKUP($S$277,'TAR FIN'!$A$1:$O$88,15,0)),0,VLOOKUP($S$277,'TAR FIN'!$A$1:$O$88,15,0))</f>
        <v>0</v>
      </c>
      <c r="W277" s="4">
        <f>IF(ISERROR(VLOOKUP($T$277,'TAR FIN'!$A$1:$O$88,15,0)),0,VLOOKUP($T$277,'TAR FIN'!$A$1:$O$88,15,0))</f>
        <v>557.55999999999995</v>
      </c>
      <c r="X277" s="4">
        <f>IF(ISERROR(VLOOKUP($U$277,'TAR FIN'!$A$1:$O$88,15,0)),0,VLOOKUP($U$277,'TAR FIN'!$A$1:$O$88,15,0))</f>
        <v>242.35</v>
      </c>
      <c r="Y277" s="4"/>
      <c r="Z277" s="4">
        <f ca="1">('TUSD BE'!$AM$46+'TUSD BF'!$AM$46+'TUSD CVA'!$AM$46)*1</f>
        <v>815.58223086282692</v>
      </c>
      <c r="AA277" s="4">
        <f>('TE BE'!$AB$36+'TE BF'!$AB$36+'TE CVA'!$AB$36)*1</f>
        <v>191.00751406315655</v>
      </c>
      <c r="AB277" s="4">
        <f>$K$277*$V$277</f>
        <v>0</v>
      </c>
      <c r="AC277" s="4">
        <f>$M$277*$W$277</f>
        <v>28.993119999999998</v>
      </c>
      <c r="AD277" s="4">
        <f>$O$277*$X$277</f>
        <v>12.6022</v>
      </c>
      <c r="AE277" s="4">
        <f>$K$277*$Y$277</f>
        <v>0</v>
      </c>
      <c r="AF277" s="4">
        <f ca="1">$M$277*$Z$277</f>
        <v>42.410276004867001</v>
      </c>
      <c r="AG277" s="4">
        <f>$O$277*$AA$277</f>
        <v>9.9323907312841406</v>
      </c>
    </row>
    <row r="278" spans="1:33" ht="11.25" customHeight="1" x14ac:dyDescent="0.3">
      <c r="A278" s="3" t="s">
        <v>21</v>
      </c>
      <c r="B278" s="3" t="s">
        <v>33</v>
      </c>
      <c r="C278" s="3" t="s">
        <v>40</v>
      </c>
      <c r="D278" s="3" t="s">
        <v>39</v>
      </c>
      <c r="E278" s="3" t="s">
        <v>25</v>
      </c>
      <c r="F278" s="3" t="s">
        <v>25</v>
      </c>
      <c r="G278" s="3" t="s">
        <v>25</v>
      </c>
      <c r="H278" s="3" t="s">
        <v>41</v>
      </c>
      <c r="I278" s="6">
        <v>44713</v>
      </c>
      <c r="J278" s="4">
        <v>0</v>
      </c>
      <c r="K278" s="4">
        <v>0</v>
      </c>
      <c r="L278" s="4">
        <v>5.1999999999999998E-2</v>
      </c>
      <c r="M278" s="4">
        <v>5.1999999999999998E-2</v>
      </c>
      <c r="N278" s="4">
        <v>5.1999999999999998E-2</v>
      </c>
      <c r="O278" s="4">
        <v>5.1999999999999998E-2</v>
      </c>
      <c r="P278" s="4">
        <v>0</v>
      </c>
      <c r="Q278" s="3" t="s">
        <v>26</v>
      </c>
      <c r="R278" s="3">
        <v>0</v>
      </c>
      <c r="S278" s="4">
        <v>0</v>
      </c>
      <c r="T278" s="4">
        <v>44</v>
      </c>
      <c r="U278" s="4">
        <v>82</v>
      </c>
      <c r="V278" s="4">
        <f>IF(ISERROR(VLOOKUP($S$278,'TAR FIN'!$A$1:$O$88,15,0)),0,VLOOKUP($S$278,'TAR FIN'!$A$1:$O$88,15,0))</f>
        <v>0</v>
      </c>
      <c r="W278" s="4">
        <f>IF(ISERROR(VLOOKUP($T$278,'TAR FIN'!$A$1:$O$88,15,0)),0,VLOOKUP($T$278,'TAR FIN'!$A$1:$O$88,15,0))</f>
        <v>557.55999999999995</v>
      </c>
      <c r="X278" s="4">
        <f>IF(ISERROR(VLOOKUP($U$278,'TAR FIN'!$A$1:$O$88,15,0)),0,VLOOKUP($U$278,'TAR FIN'!$A$1:$O$88,15,0))</f>
        <v>242.35</v>
      </c>
      <c r="Y278" s="4"/>
      <c r="Z278" s="4">
        <f ca="1">('TUSD BE'!$AM$46+'TUSD BF'!$AM$46+'TUSD CVA'!$AM$46)*1</f>
        <v>815.58223086282692</v>
      </c>
      <c r="AA278" s="4">
        <f>('TE BE'!$AB$36+'TE BF'!$AB$36+'TE CVA'!$AB$36)*1</f>
        <v>191.00751406315655</v>
      </c>
      <c r="AB278" s="4">
        <f>$K$278*$V$278</f>
        <v>0</v>
      </c>
      <c r="AC278" s="4">
        <f>$M$278*$W$278</f>
        <v>28.993119999999998</v>
      </c>
      <c r="AD278" s="4">
        <f>$O$278*$X$278</f>
        <v>12.6022</v>
      </c>
      <c r="AE278" s="4">
        <f>$K$278*$Y$278</f>
        <v>0</v>
      </c>
      <c r="AF278" s="4">
        <f ca="1">$M$278*$Z$278</f>
        <v>42.410276004867001</v>
      </c>
      <c r="AG278" s="4">
        <f>$O$278*$AA$278</f>
        <v>9.9323907312841406</v>
      </c>
    </row>
    <row r="279" spans="1:33" ht="11.25" customHeight="1" x14ac:dyDescent="0.3">
      <c r="A279" s="3" t="s">
        <v>21</v>
      </c>
      <c r="B279" s="3" t="s">
        <v>33</v>
      </c>
      <c r="C279" s="3" t="s">
        <v>40</v>
      </c>
      <c r="D279" s="3" t="s">
        <v>39</v>
      </c>
      <c r="E279" s="3" t="s">
        <v>25</v>
      </c>
      <c r="F279" s="3" t="s">
        <v>25</v>
      </c>
      <c r="G279" s="3" t="s">
        <v>25</v>
      </c>
      <c r="H279" s="3" t="s">
        <v>41</v>
      </c>
      <c r="I279" s="6">
        <v>44743</v>
      </c>
      <c r="J279" s="4">
        <v>0</v>
      </c>
      <c r="K279" s="4">
        <v>0</v>
      </c>
      <c r="L279" s="4">
        <v>5.1999999999999998E-2</v>
      </c>
      <c r="M279" s="4">
        <v>5.1999999999999998E-2</v>
      </c>
      <c r="N279" s="4">
        <v>5.1999999999999998E-2</v>
      </c>
      <c r="O279" s="4">
        <v>5.1999999999999998E-2</v>
      </c>
      <c r="P279" s="4">
        <v>0</v>
      </c>
      <c r="Q279" s="3" t="s">
        <v>26</v>
      </c>
      <c r="R279" s="3">
        <v>0</v>
      </c>
      <c r="S279" s="4">
        <v>0</v>
      </c>
      <c r="T279" s="4">
        <v>44</v>
      </c>
      <c r="U279" s="4">
        <v>82</v>
      </c>
      <c r="V279" s="4">
        <f>IF(ISERROR(VLOOKUP($S$279,'TAR FIN'!$A$1:$O$88,15,0)),0,VLOOKUP($S$279,'TAR FIN'!$A$1:$O$88,15,0))</f>
        <v>0</v>
      </c>
      <c r="W279" s="4">
        <f>IF(ISERROR(VLOOKUP($T$279,'TAR FIN'!$A$1:$O$88,15,0)),0,VLOOKUP($T$279,'TAR FIN'!$A$1:$O$88,15,0))</f>
        <v>557.55999999999995</v>
      </c>
      <c r="X279" s="4">
        <f>IF(ISERROR(VLOOKUP($U$279,'TAR FIN'!$A$1:$O$88,15,0)),0,VLOOKUP($U$279,'TAR FIN'!$A$1:$O$88,15,0))</f>
        <v>242.35</v>
      </c>
      <c r="Y279" s="4"/>
      <c r="Z279" s="4">
        <f ca="1">('TUSD BE'!$AM$46+'TUSD BF'!$AM$46+'TUSD CVA'!$AM$46)*1</f>
        <v>815.58223086282692</v>
      </c>
      <c r="AA279" s="4">
        <f>('TE BE'!$AB$36+'TE BF'!$AB$36+'TE CVA'!$AB$36)*1</f>
        <v>191.00751406315655</v>
      </c>
      <c r="AB279" s="4">
        <f>$K$279*$V$279</f>
        <v>0</v>
      </c>
      <c r="AC279" s="4">
        <f>$M$279*$W$279</f>
        <v>28.993119999999998</v>
      </c>
      <c r="AD279" s="4">
        <f>$O$279*$X$279</f>
        <v>12.6022</v>
      </c>
      <c r="AE279" s="4">
        <f>$K$279*$Y$279</f>
        <v>0</v>
      </c>
      <c r="AF279" s="4">
        <f ca="1">$M$279*$Z$279</f>
        <v>42.410276004867001</v>
      </c>
      <c r="AG279" s="4">
        <f>$O$279*$AA$279</f>
        <v>9.9323907312841406</v>
      </c>
    </row>
    <row r="280" spans="1:33" ht="11.25" customHeight="1" x14ac:dyDescent="0.3">
      <c r="A280" s="3" t="s">
        <v>55</v>
      </c>
      <c r="B280" s="3" t="s">
        <v>33</v>
      </c>
      <c r="C280" s="3" t="s">
        <v>40</v>
      </c>
      <c r="D280" s="3" t="s">
        <v>39</v>
      </c>
      <c r="E280" s="3" t="s">
        <v>25</v>
      </c>
      <c r="F280" s="3" t="s">
        <v>25</v>
      </c>
      <c r="G280" s="3" t="s">
        <v>25</v>
      </c>
      <c r="H280" s="3" t="s">
        <v>41</v>
      </c>
      <c r="I280" s="6">
        <v>44774</v>
      </c>
      <c r="J280" s="4">
        <v>0</v>
      </c>
      <c r="K280" s="4">
        <v>0</v>
      </c>
      <c r="L280" s="4">
        <v>5.1999999999999998E-2</v>
      </c>
      <c r="M280" s="4">
        <v>5.1999999999999998E-2</v>
      </c>
      <c r="N280" s="4">
        <v>5.1999999999999998E-2</v>
      </c>
      <c r="O280" s="4">
        <v>5.1999999999999998E-2</v>
      </c>
      <c r="P280" s="4">
        <v>0</v>
      </c>
      <c r="Q280" s="3" t="s">
        <v>26</v>
      </c>
      <c r="R280" s="3">
        <v>0</v>
      </c>
      <c r="S280" s="4">
        <v>0</v>
      </c>
      <c r="T280" s="4">
        <v>44</v>
      </c>
      <c r="U280" s="4">
        <v>82</v>
      </c>
      <c r="V280" s="4">
        <f>IF(ISERROR(VLOOKUP($S$280,'TAR FIN'!$A$1:$O$88,15,0)),0,VLOOKUP($S$280,'TAR FIN'!$A$1:$O$88,15,0))</f>
        <v>0</v>
      </c>
      <c r="W280" s="4">
        <f>IF(ISERROR(VLOOKUP($T$280,'TAR FIN'!$A$1:$O$88,15,0)),0,VLOOKUP($T$280,'TAR FIN'!$A$1:$O$88,15,0))</f>
        <v>557.55999999999995</v>
      </c>
      <c r="X280" s="4">
        <f>IF(ISERROR(VLOOKUP($U$280,'TAR FIN'!$A$1:$O$88,15,0)),0,VLOOKUP($U$280,'TAR FIN'!$A$1:$O$88,15,0))</f>
        <v>242.35</v>
      </c>
      <c r="Y280" s="4"/>
      <c r="Z280" s="4">
        <f ca="1">('TUSD BE'!$AM$46+'TUSD BF'!$AM$46+'TUSD CVA'!$AM$46)*1</f>
        <v>815.58223086282692</v>
      </c>
      <c r="AA280" s="4">
        <f>('TE BE'!$AB$36+'TE BF'!$AB$36+'TE CVA'!$AB$36)*1</f>
        <v>191.00751406315655</v>
      </c>
      <c r="AB280" s="4">
        <f>$K$280*$V$280</f>
        <v>0</v>
      </c>
      <c r="AC280" s="4">
        <f>$M$280*$W$280</f>
        <v>28.993119999999998</v>
      </c>
      <c r="AD280" s="4">
        <f>$O$280*$X$280</f>
        <v>12.6022</v>
      </c>
      <c r="AE280" s="4">
        <f>$K$280*$Y$280</f>
        <v>0</v>
      </c>
      <c r="AF280" s="4">
        <f ca="1">$M$280*$Z$280</f>
        <v>42.410276004867001</v>
      </c>
      <c r="AG280" s="4">
        <f>$O$280*$AA$280</f>
        <v>9.9323907312841406</v>
      </c>
    </row>
    <row r="281" spans="1:33" ht="11.25" customHeight="1" x14ac:dyDescent="0.3">
      <c r="A281" s="3" t="s">
        <v>21</v>
      </c>
      <c r="B281" s="3" t="s">
        <v>33</v>
      </c>
      <c r="C281" s="3" t="s">
        <v>40</v>
      </c>
      <c r="D281" s="3" t="s">
        <v>39</v>
      </c>
      <c r="E281" s="3" t="s">
        <v>25</v>
      </c>
      <c r="F281" s="3" t="s">
        <v>25</v>
      </c>
      <c r="G281" s="3" t="s">
        <v>25</v>
      </c>
      <c r="H281" s="3" t="s">
        <v>37</v>
      </c>
      <c r="I281" s="6">
        <v>44440</v>
      </c>
      <c r="J281" s="4">
        <v>0</v>
      </c>
      <c r="K281" s="4">
        <v>0</v>
      </c>
      <c r="L281" s="4">
        <v>0.05</v>
      </c>
      <c r="M281" s="4">
        <v>0.05</v>
      </c>
      <c r="N281" s="4">
        <v>0.05</v>
      </c>
      <c r="O281" s="4">
        <v>0.05</v>
      </c>
      <c r="P281" s="4">
        <v>0</v>
      </c>
      <c r="Q281" s="3" t="s">
        <v>26</v>
      </c>
      <c r="R281" s="3">
        <v>0</v>
      </c>
      <c r="S281" s="4">
        <v>0</v>
      </c>
      <c r="T281" s="4">
        <v>43</v>
      </c>
      <c r="U281" s="4">
        <v>81</v>
      </c>
      <c r="V281" s="4">
        <f>IF(ISERROR(VLOOKUP($S$281,'TAR FIN'!$A$1:$O$88,15,0)),0,VLOOKUP($S$281,'TAR FIN'!$A$1:$O$88,15,0))</f>
        <v>0</v>
      </c>
      <c r="W281" s="4">
        <f>IF(ISERROR(VLOOKUP($T$281,'TAR FIN'!$A$1:$O$88,15,0)),0,VLOOKUP($T$281,'TAR FIN'!$A$1:$O$88,15,0))</f>
        <v>881.82</v>
      </c>
      <c r="X281" s="4">
        <f>IF(ISERROR(VLOOKUP($U$281,'TAR FIN'!$A$1:$O$88,15,0)),0,VLOOKUP($U$281,'TAR FIN'!$A$1:$O$88,15,0))</f>
        <v>242.35</v>
      </c>
      <c r="Y281" s="4"/>
      <c r="Z281" s="4">
        <f ca="1">('TUSD BE'!$AM$45+'TUSD BF'!$AM$45+'TUSD CVA'!$AM$45)*1</f>
        <v>1289.7018082650229</v>
      </c>
      <c r="AA281" s="4">
        <f>('TE BE'!$AB$35+'TE BF'!$AB$35+'TE CVA'!$AB$35)*1</f>
        <v>191.00751406315655</v>
      </c>
      <c r="AB281" s="4">
        <f>$K$281*$V$281</f>
        <v>0</v>
      </c>
      <c r="AC281" s="4">
        <f>$M$281*$W$281</f>
        <v>44.091000000000008</v>
      </c>
      <c r="AD281" s="4">
        <f>$O$281*$X$281</f>
        <v>12.1175</v>
      </c>
      <c r="AE281" s="4">
        <f>$K$281*$Y$281</f>
        <v>0</v>
      </c>
      <c r="AF281" s="4">
        <f ca="1">$M$281*$Z$281</f>
        <v>64.485090413251143</v>
      </c>
      <c r="AG281" s="4">
        <f>$O$281*$AA$281</f>
        <v>9.5503757031578278</v>
      </c>
    </row>
    <row r="282" spans="1:33" ht="11.25" customHeight="1" x14ac:dyDescent="0.3">
      <c r="A282" s="3" t="s">
        <v>21</v>
      </c>
      <c r="B282" s="3" t="s">
        <v>33</v>
      </c>
      <c r="C282" s="3" t="s">
        <v>40</v>
      </c>
      <c r="D282" s="3" t="s">
        <v>39</v>
      </c>
      <c r="E282" s="3" t="s">
        <v>25</v>
      </c>
      <c r="F282" s="3" t="s">
        <v>25</v>
      </c>
      <c r="G282" s="3" t="s">
        <v>25</v>
      </c>
      <c r="H282" s="3" t="s">
        <v>37</v>
      </c>
      <c r="I282" s="6">
        <v>44470</v>
      </c>
      <c r="J282" s="4">
        <v>0</v>
      </c>
      <c r="K282" s="4">
        <v>0</v>
      </c>
      <c r="L282" s="4">
        <v>5.1999999999999998E-2</v>
      </c>
      <c r="M282" s="4">
        <v>5.1999999999999998E-2</v>
      </c>
      <c r="N282" s="4">
        <v>5.1999999999999998E-2</v>
      </c>
      <c r="O282" s="4">
        <v>5.1999999999999998E-2</v>
      </c>
      <c r="P282" s="4">
        <v>0</v>
      </c>
      <c r="Q282" s="3" t="s">
        <v>26</v>
      </c>
      <c r="R282" s="3">
        <v>0</v>
      </c>
      <c r="S282" s="4">
        <v>0</v>
      </c>
      <c r="T282" s="4">
        <v>43</v>
      </c>
      <c r="U282" s="4">
        <v>81</v>
      </c>
      <c r="V282" s="4">
        <f>IF(ISERROR(VLOOKUP($S$282,'TAR FIN'!$A$1:$O$88,15,0)),0,VLOOKUP($S$282,'TAR FIN'!$A$1:$O$88,15,0))</f>
        <v>0</v>
      </c>
      <c r="W282" s="4">
        <f>IF(ISERROR(VLOOKUP($T$282,'TAR FIN'!$A$1:$O$88,15,0)),0,VLOOKUP($T$282,'TAR FIN'!$A$1:$O$88,15,0))</f>
        <v>881.82</v>
      </c>
      <c r="X282" s="4">
        <f>IF(ISERROR(VLOOKUP($U$282,'TAR FIN'!$A$1:$O$88,15,0)),0,VLOOKUP($U$282,'TAR FIN'!$A$1:$O$88,15,0))</f>
        <v>242.35</v>
      </c>
      <c r="Y282" s="4"/>
      <c r="Z282" s="4">
        <f ca="1">('TUSD BE'!$AM$45+'TUSD BF'!$AM$45+'TUSD CVA'!$AM$45)*1</f>
        <v>1289.7018082650229</v>
      </c>
      <c r="AA282" s="4">
        <f>('TE BE'!$AB$35+'TE BF'!$AB$35+'TE CVA'!$AB$35)*1</f>
        <v>191.00751406315655</v>
      </c>
      <c r="AB282" s="4">
        <f>$K$282*$V$282</f>
        <v>0</v>
      </c>
      <c r="AC282" s="4">
        <f>$M$282*$W$282</f>
        <v>45.854640000000003</v>
      </c>
      <c r="AD282" s="4">
        <f>$O$282*$X$282</f>
        <v>12.6022</v>
      </c>
      <c r="AE282" s="4">
        <f>$K$282*$Y$282</f>
        <v>0</v>
      </c>
      <c r="AF282" s="4">
        <f ca="1">$M$282*$Z$282</f>
        <v>67.064494029781187</v>
      </c>
      <c r="AG282" s="4">
        <f>$O$282*$AA$282</f>
        <v>9.9323907312841406</v>
      </c>
    </row>
    <row r="283" spans="1:33" ht="11.25" customHeight="1" x14ac:dyDescent="0.3">
      <c r="A283" s="3" t="s">
        <v>21</v>
      </c>
      <c r="B283" s="3" t="s">
        <v>33</v>
      </c>
      <c r="C283" s="3" t="s">
        <v>40</v>
      </c>
      <c r="D283" s="3" t="s">
        <v>39</v>
      </c>
      <c r="E283" s="3" t="s">
        <v>25</v>
      </c>
      <c r="F283" s="3" t="s">
        <v>25</v>
      </c>
      <c r="G283" s="3" t="s">
        <v>25</v>
      </c>
      <c r="H283" s="3" t="s">
        <v>37</v>
      </c>
      <c r="I283" s="6">
        <v>44501</v>
      </c>
      <c r="J283" s="4">
        <v>0</v>
      </c>
      <c r="K283" s="4">
        <v>0</v>
      </c>
      <c r="L283" s="4">
        <v>5.1999999999999998E-2</v>
      </c>
      <c r="M283" s="4">
        <v>5.1999999999999998E-2</v>
      </c>
      <c r="N283" s="4">
        <v>5.1999999999999998E-2</v>
      </c>
      <c r="O283" s="4">
        <v>5.1999999999999998E-2</v>
      </c>
      <c r="P283" s="4">
        <v>0</v>
      </c>
      <c r="Q283" s="3" t="s">
        <v>26</v>
      </c>
      <c r="R283" s="3">
        <v>0</v>
      </c>
      <c r="S283" s="4">
        <v>0</v>
      </c>
      <c r="T283" s="4">
        <v>43</v>
      </c>
      <c r="U283" s="4">
        <v>81</v>
      </c>
      <c r="V283" s="4">
        <f>IF(ISERROR(VLOOKUP($S$283,'TAR FIN'!$A$1:$O$88,15,0)),0,VLOOKUP($S$283,'TAR FIN'!$A$1:$O$88,15,0))</f>
        <v>0</v>
      </c>
      <c r="W283" s="4">
        <f>IF(ISERROR(VLOOKUP($T$283,'TAR FIN'!$A$1:$O$88,15,0)),0,VLOOKUP($T$283,'TAR FIN'!$A$1:$O$88,15,0))</f>
        <v>881.82</v>
      </c>
      <c r="X283" s="4">
        <f>IF(ISERROR(VLOOKUP($U$283,'TAR FIN'!$A$1:$O$88,15,0)),0,VLOOKUP($U$283,'TAR FIN'!$A$1:$O$88,15,0))</f>
        <v>242.35</v>
      </c>
      <c r="Y283" s="4"/>
      <c r="Z283" s="4">
        <f ca="1">('TUSD BE'!$AM$45+'TUSD BF'!$AM$45+'TUSD CVA'!$AM$45)*1</f>
        <v>1289.7018082650229</v>
      </c>
      <c r="AA283" s="4">
        <f>('TE BE'!$AB$35+'TE BF'!$AB$35+'TE CVA'!$AB$35)*1</f>
        <v>191.00751406315655</v>
      </c>
      <c r="AB283" s="4">
        <f>$K$283*$V$283</f>
        <v>0</v>
      </c>
      <c r="AC283" s="4">
        <f>$M$283*$W$283</f>
        <v>45.854640000000003</v>
      </c>
      <c r="AD283" s="4">
        <f>$O$283*$X$283</f>
        <v>12.6022</v>
      </c>
      <c r="AE283" s="4">
        <f>$K$283*$Y$283</f>
        <v>0</v>
      </c>
      <c r="AF283" s="4">
        <f ca="1">$M$283*$Z$283</f>
        <v>67.064494029781187</v>
      </c>
      <c r="AG283" s="4">
        <f>$O$283*$AA$283</f>
        <v>9.9323907312841406</v>
      </c>
    </row>
    <row r="284" spans="1:33" ht="11.25" customHeight="1" x14ac:dyDescent="0.3">
      <c r="A284" s="3" t="s">
        <v>21</v>
      </c>
      <c r="B284" s="3" t="s">
        <v>33</v>
      </c>
      <c r="C284" s="3" t="s">
        <v>40</v>
      </c>
      <c r="D284" s="3" t="s">
        <v>39</v>
      </c>
      <c r="E284" s="3" t="s">
        <v>25</v>
      </c>
      <c r="F284" s="3" t="s">
        <v>25</v>
      </c>
      <c r="G284" s="3" t="s">
        <v>25</v>
      </c>
      <c r="H284" s="3" t="s">
        <v>37</v>
      </c>
      <c r="I284" s="6">
        <v>44531</v>
      </c>
      <c r="J284" s="4">
        <v>0</v>
      </c>
      <c r="K284" s="4">
        <v>0</v>
      </c>
      <c r="L284" s="4">
        <v>5.7000000000000002E-2</v>
      </c>
      <c r="M284" s="4">
        <v>5.7000000000000002E-2</v>
      </c>
      <c r="N284" s="4">
        <v>5.7000000000000002E-2</v>
      </c>
      <c r="O284" s="4">
        <v>5.7000000000000002E-2</v>
      </c>
      <c r="P284" s="4">
        <v>0</v>
      </c>
      <c r="Q284" s="3" t="s">
        <v>26</v>
      </c>
      <c r="R284" s="3">
        <v>0</v>
      </c>
      <c r="S284" s="4">
        <v>0</v>
      </c>
      <c r="T284" s="4">
        <v>43</v>
      </c>
      <c r="U284" s="4">
        <v>81</v>
      </c>
      <c r="V284" s="4">
        <f>IF(ISERROR(VLOOKUP($S$284,'TAR FIN'!$A$1:$O$88,15,0)),0,VLOOKUP($S$284,'TAR FIN'!$A$1:$O$88,15,0))</f>
        <v>0</v>
      </c>
      <c r="W284" s="4">
        <f>IF(ISERROR(VLOOKUP($T$284,'TAR FIN'!$A$1:$O$88,15,0)),0,VLOOKUP($T$284,'TAR FIN'!$A$1:$O$88,15,0))</f>
        <v>881.82</v>
      </c>
      <c r="X284" s="4">
        <f>IF(ISERROR(VLOOKUP($U$284,'TAR FIN'!$A$1:$O$88,15,0)),0,VLOOKUP($U$284,'TAR FIN'!$A$1:$O$88,15,0))</f>
        <v>242.35</v>
      </c>
      <c r="Y284" s="4"/>
      <c r="Z284" s="4">
        <f ca="1">('TUSD BE'!$AM$45+'TUSD BF'!$AM$45+'TUSD CVA'!$AM$45)*1</f>
        <v>1289.7018082650229</v>
      </c>
      <c r="AA284" s="4">
        <f>('TE BE'!$AB$35+'TE BF'!$AB$35+'TE CVA'!$AB$35)*1</f>
        <v>191.00751406315655</v>
      </c>
      <c r="AB284" s="4">
        <f>$K$284*$V$284</f>
        <v>0</v>
      </c>
      <c r="AC284" s="4">
        <f>$M$284*$W$284</f>
        <v>50.263740000000006</v>
      </c>
      <c r="AD284" s="4">
        <f>$O$284*$X$284</f>
        <v>13.81395</v>
      </c>
      <c r="AE284" s="4">
        <f>$K$284*$Y$284</f>
        <v>0</v>
      </c>
      <c r="AF284" s="4">
        <f ca="1">$M$284*$Z$284</f>
        <v>73.513003071106311</v>
      </c>
      <c r="AG284" s="4">
        <f>$O$284*$AA$284</f>
        <v>10.887428301599924</v>
      </c>
    </row>
    <row r="285" spans="1:33" ht="11.25" customHeight="1" x14ac:dyDescent="0.3">
      <c r="A285" s="3" t="s">
        <v>21</v>
      </c>
      <c r="B285" s="3" t="s">
        <v>33</v>
      </c>
      <c r="C285" s="3" t="s">
        <v>40</v>
      </c>
      <c r="D285" s="3" t="s">
        <v>39</v>
      </c>
      <c r="E285" s="3" t="s">
        <v>25</v>
      </c>
      <c r="F285" s="3" t="s">
        <v>25</v>
      </c>
      <c r="G285" s="3" t="s">
        <v>25</v>
      </c>
      <c r="H285" s="3" t="s">
        <v>37</v>
      </c>
      <c r="I285" s="6">
        <v>44562</v>
      </c>
      <c r="J285" s="4">
        <v>0</v>
      </c>
      <c r="K285" s="4">
        <v>0</v>
      </c>
      <c r="L285" s="4">
        <v>7.4999999999999997E-2</v>
      </c>
      <c r="M285" s="4">
        <v>7.4999999999999997E-2</v>
      </c>
      <c r="N285" s="4">
        <v>7.4999999999999997E-2</v>
      </c>
      <c r="O285" s="4">
        <v>7.4999999999999997E-2</v>
      </c>
      <c r="P285" s="4">
        <v>0</v>
      </c>
      <c r="Q285" s="3" t="s">
        <v>26</v>
      </c>
      <c r="R285" s="3">
        <v>0</v>
      </c>
      <c r="S285" s="4">
        <v>0</v>
      </c>
      <c r="T285" s="4">
        <v>43</v>
      </c>
      <c r="U285" s="4">
        <v>81</v>
      </c>
      <c r="V285" s="4">
        <f>IF(ISERROR(VLOOKUP($S$285,'TAR FIN'!$A$1:$O$88,15,0)),0,VLOOKUP($S$285,'TAR FIN'!$A$1:$O$88,15,0))</f>
        <v>0</v>
      </c>
      <c r="W285" s="4">
        <f>IF(ISERROR(VLOOKUP($T$285,'TAR FIN'!$A$1:$O$88,15,0)),0,VLOOKUP($T$285,'TAR FIN'!$A$1:$O$88,15,0))</f>
        <v>881.82</v>
      </c>
      <c r="X285" s="4">
        <f>IF(ISERROR(VLOOKUP($U$285,'TAR FIN'!$A$1:$O$88,15,0)),0,VLOOKUP($U$285,'TAR FIN'!$A$1:$O$88,15,0))</f>
        <v>242.35</v>
      </c>
      <c r="Y285" s="4"/>
      <c r="Z285" s="4">
        <f ca="1">('TUSD BE'!$AM$45+'TUSD BF'!$AM$45+'TUSD CVA'!$AM$45)*1</f>
        <v>1289.7018082650229</v>
      </c>
      <c r="AA285" s="4">
        <f>('TE BE'!$AB$35+'TE BF'!$AB$35+'TE CVA'!$AB$35)*1</f>
        <v>191.00751406315655</v>
      </c>
      <c r="AB285" s="4">
        <f>$K$285*$V$285</f>
        <v>0</v>
      </c>
      <c r="AC285" s="4">
        <f>$M$285*$W$285</f>
        <v>66.136499999999998</v>
      </c>
      <c r="AD285" s="4">
        <f>$O$285*$X$285</f>
        <v>18.17625</v>
      </c>
      <c r="AE285" s="4">
        <f>$K$285*$Y$285</f>
        <v>0</v>
      </c>
      <c r="AF285" s="4">
        <f ca="1">$M$285*$Z$285</f>
        <v>96.727635619876722</v>
      </c>
      <c r="AG285" s="4">
        <f>$O$285*$AA$285</f>
        <v>14.325563554736741</v>
      </c>
    </row>
    <row r="286" spans="1:33" ht="11.25" customHeight="1" x14ac:dyDescent="0.3">
      <c r="A286" s="3" t="s">
        <v>21</v>
      </c>
      <c r="B286" s="3" t="s">
        <v>33</v>
      </c>
      <c r="C286" s="3" t="s">
        <v>40</v>
      </c>
      <c r="D286" s="3" t="s">
        <v>39</v>
      </c>
      <c r="E286" s="3" t="s">
        <v>25</v>
      </c>
      <c r="F286" s="3" t="s">
        <v>25</v>
      </c>
      <c r="G286" s="3" t="s">
        <v>25</v>
      </c>
      <c r="H286" s="3" t="s">
        <v>37</v>
      </c>
      <c r="I286" s="6">
        <v>44593</v>
      </c>
      <c r="J286" s="4">
        <v>0</v>
      </c>
      <c r="K286" s="4">
        <v>0</v>
      </c>
      <c r="L286" s="4">
        <v>0.106</v>
      </c>
      <c r="M286" s="4">
        <v>0.106</v>
      </c>
      <c r="N286" s="4">
        <v>0.106</v>
      </c>
      <c r="O286" s="4">
        <v>0.106</v>
      </c>
      <c r="P286" s="4">
        <v>0</v>
      </c>
      <c r="Q286" s="3" t="s">
        <v>26</v>
      </c>
      <c r="R286" s="3">
        <v>0</v>
      </c>
      <c r="S286" s="4">
        <v>0</v>
      </c>
      <c r="T286" s="4">
        <v>43</v>
      </c>
      <c r="U286" s="4">
        <v>81</v>
      </c>
      <c r="V286" s="4">
        <f>IF(ISERROR(VLOOKUP($S$286,'TAR FIN'!$A$1:$O$88,15,0)),0,VLOOKUP($S$286,'TAR FIN'!$A$1:$O$88,15,0))</f>
        <v>0</v>
      </c>
      <c r="W286" s="4">
        <f>IF(ISERROR(VLOOKUP($T$286,'TAR FIN'!$A$1:$O$88,15,0)),0,VLOOKUP($T$286,'TAR FIN'!$A$1:$O$88,15,0))</f>
        <v>881.82</v>
      </c>
      <c r="X286" s="4">
        <f>IF(ISERROR(VLOOKUP($U$286,'TAR FIN'!$A$1:$O$88,15,0)),0,VLOOKUP($U$286,'TAR FIN'!$A$1:$O$88,15,0))</f>
        <v>242.35</v>
      </c>
      <c r="Y286" s="4"/>
      <c r="Z286" s="4">
        <f ca="1">('TUSD BE'!$AM$45+'TUSD BF'!$AM$45+'TUSD CVA'!$AM$45)*1</f>
        <v>1289.7018082650229</v>
      </c>
      <c r="AA286" s="4">
        <f>('TE BE'!$AB$35+'TE BF'!$AB$35+'TE CVA'!$AB$35)*1</f>
        <v>191.00751406315655</v>
      </c>
      <c r="AB286" s="4">
        <f>$K$286*$V$286</f>
        <v>0</v>
      </c>
      <c r="AC286" s="4">
        <f>$M$286*$W$286</f>
        <v>93.472920000000002</v>
      </c>
      <c r="AD286" s="4">
        <f>$O$286*$X$286</f>
        <v>25.6891</v>
      </c>
      <c r="AE286" s="4">
        <f>$K$286*$Y$286</f>
        <v>0</v>
      </c>
      <c r="AF286" s="4">
        <f ca="1">$M$286*$Z$286</f>
        <v>136.70839167609242</v>
      </c>
      <c r="AG286" s="4">
        <f>$O$286*$AA$286</f>
        <v>20.246796490694592</v>
      </c>
    </row>
    <row r="287" spans="1:33" ht="11.25" customHeight="1" x14ac:dyDescent="0.3">
      <c r="A287" s="3" t="s">
        <v>21</v>
      </c>
      <c r="B287" s="3" t="s">
        <v>33</v>
      </c>
      <c r="C287" s="3" t="s">
        <v>40</v>
      </c>
      <c r="D287" s="3" t="s">
        <v>39</v>
      </c>
      <c r="E287" s="3" t="s">
        <v>25</v>
      </c>
      <c r="F287" s="3" t="s">
        <v>25</v>
      </c>
      <c r="G287" s="3" t="s">
        <v>25</v>
      </c>
      <c r="H287" s="3" t="s">
        <v>37</v>
      </c>
      <c r="I287" s="6">
        <v>44621</v>
      </c>
      <c r="J287" s="4">
        <v>0</v>
      </c>
      <c r="K287" s="4">
        <v>0</v>
      </c>
      <c r="L287" s="4">
        <v>7.4999999999999997E-2</v>
      </c>
      <c r="M287" s="4">
        <v>7.4999999999999997E-2</v>
      </c>
      <c r="N287" s="4">
        <v>7.4999999999999997E-2</v>
      </c>
      <c r="O287" s="4">
        <v>7.4999999999999997E-2</v>
      </c>
      <c r="P287" s="4">
        <v>0</v>
      </c>
      <c r="Q287" s="3" t="s">
        <v>26</v>
      </c>
      <c r="R287" s="3">
        <v>0</v>
      </c>
      <c r="S287" s="4">
        <v>0</v>
      </c>
      <c r="T287" s="4">
        <v>43</v>
      </c>
      <c r="U287" s="4">
        <v>81</v>
      </c>
      <c r="V287" s="4">
        <f>IF(ISERROR(VLOOKUP($S$287,'TAR FIN'!$A$1:$O$88,15,0)),0,VLOOKUP($S$287,'TAR FIN'!$A$1:$O$88,15,0))</f>
        <v>0</v>
      </c>
      <c r="W287" s="4">
        <f>IF(ISERROR(VLOOKUP($T$287,'TAR FIN'!$A$1:$O$88,15,0)),0,VLOOKUP($T$287,'TAR FIN'!$A$1:$O$88,15,0))</f>
        <v>881.82</v>
      </c>
      <c r="X287" s="4">
        <f>IF(ISERROR(VLOOKUP($U$287,'TAR FIN'!$A$1:$O$88,15,0)),0,VLOOKUP($U$287,'TAR FIN'!$A$1:$O$88,15,0))</f>
        <v>242.35</v>
      </c>
      <c r="Y287" s="4"/>
      <c r="Z287" s="4">
        <f ca="1">('TUSD BE'!$AM$45+'TUSD BF'!$AM$45+'TUSD CVA'!$AM$45)*1</f>
        <v>1289.7018082650229</v>
      </c>
      <c r="AA287" s="4">
        <f>('TE BE'!$AB$35+'TE BF'!$AB$35+'TE CVA'!$AB$35)*1</f>
        <v>191.00751406315655</v>
      </c>
      <c r="AB287" s="4">
        <f>$K$287*$V$287</f>
        <v>0</v>
      </c>
      <c r="AC287" s="4">
        <f>$M$287*$W$287</f>
        <v>66.136499999999998</v>
      </c>
      <c r="AD287" s="4">
        <f>$O$287*$X$287</f>
        <v>18.17625</v>
      </c>
      <c r="AE287" s="4">
        <f>$K$287*$Y$287</f>
        <v>0</v>
      </c>
      <c r="AF287" s="4">
        <f ca="1">$M$287*$Z$287</f>
        <v>96.727635619876722</v>
      </c>
      <c r="AG287" s="4">
        <f>$O$287*$AA$287</f>
        <v>14.325563554736741</v>
      </c>
    </row>
    <row r="288" spans="1:33" ht="11.25" customHeight="1" x14ac:dyDescent="0.3">
      <c r="A288" s="3" t="s">
        <v>21</v>
      </c>
      <c r="B288" s="3" t="s">
        <v>33</v>
      </c>
      <c r="C288" s="3" t="s">
        <v>40</v>
      </c>
      <c r="D288" s="3" t="s">
        <v>39</v>
      </c>
      <c r="E288" s="3" t="s">
        <v>25</v>
      </c>
      <c r="F288" s="3" t="s">
        <v>25</v>
      </c>
      <c r="G288" s="3" t="s">
        <v>25</v>
      </c>
      <c r="H288" s="3" t="s">
        <v>37</v>
      </c>
      <c r="I288" s="6">
        <v>44652</v>
      </c>
      <c r="J288" s="4">
        <v>0</v>
      </c>
      <c r="K288" s="4">
        <v>0</v>
      </c>
      <c r="L288" s="4">
        <v>8.6999999999999994E-2</v>
      </c>
      <c r="M288" s="4">
        <v>8.6999999999999994E-2</v>
      </c>
      <c r="N288" s="4">
        <v>8.6999999999999994E-2</v>
      </c>
      <c r="O288" s="4">
        <v>8.6999999999999994E-2</v>
      </c>
      <c r="P288" s="4">
        <v>0</v>
      </c>
      <c r="Q288" s="3" t="s">
        <v>26</v>
      </c>
      <c r="R288" s="3">
        <v>0</v>
      </c>
      <c r="S288" s="4">
        <v>0</v>
      </c>
      <c r="T288" s="4">
        <v>43</v>
      </c>
      <c r="U288" s="4">
        <v>81</v>
      </c>
      <c r="V288" s="4">
        <f>IF(ISERROR(VLOOKUP($S$288,'TAR FIN'!$A$1:$O$88,15,0)),0,VLOOKUP($S$288,'TAR FIN'!$A$1:$O$88,15,0))</f>
        <v>0</v>
      </c>
      <c r="W288" s="4">
        <f>IF(ISERROR(VLOOKUP($T$288,'TAR FIN'!$A$1:$O$88,15,0)),0,VLOOKUP($T$288,'TAR FIN'!$A$1:$O$88,15,0))</f>
        <v>881.82</v>
      </c>
      <c r="X288" s="4">
        <f>IF(ISERROR(VLOOKUP($U$288,'TAR FIN'!$A$1:$O$88,15,0)),0,VLOOKUP($U$288,'TAR FIN'!$A$1:$O$88,15,0))</f>
        <v>242.35</v>
      </c>
      <c r="Y288" s="4"/>
      <c r="Z288" s="4">
        <f ca="1">('TUSD BE'!$AM$45+'TUSD BF'!$AM$45+'TUSD CVA'!$AM$45)*1</f>
        <v>1289.7018082650229</v>
      </c>
      <c r="AA288" s="4">
        <f>('TE BE'!$AB$35+'TE BF'!$AB$35+'TE CVA'!$AB$35)*1</f>
        <v>191.00751406315655</v>
      </c>
      <c r="AB288" s="4">
        <f>$K$288*$V$288</f>
        <v>0</v>
      </c>
      <c r="AC288" s="4">
        <f>$M$288*$W$288</f>
        <v>76.718339999999998</v>
      </c>
      <c r="AD288" s="4">
        <f>$O$288*$X$288</f>
        <v>21.084449999999997</v>
      </c>
      <c r="AE288" s="4">
        <f>$K$288*$Y$288</f>
        <v>0</v>
      </c>
      <c r="AF288" s="4">
        <f ca="1">$M$288*$Z$288</f>
        <v>112.20405731905699</v>
      </c>
      <c r="AG288" s="4">
        <f>$O$288*$AA$288</f>
        <v>16.61765372349462</v>
      </c>
    </row>
    <row r="289" spans="1:33" ht="11.25" customHeight="1" x14ac:dyDescent="0.3">
      <c r="A289" s="3" t="s">
        <v>21</v>
      </c>
      <c r="B289" s="3" t="s">
        <v>33</v>
      </c>
      <c r="C289" s="3" t="s">
        <v>40</v>
      </c>
      <c r="D289" s="3" t="s">
        <v>39</v>
      </c>
      <c r="E289" s="3" t="s">
        <v>25</v>
      </c>
      <c r="F289" s="3" t="s">
        <v>25</v>
      </c>
      <c r="G289" s="3" t="s">
        <v>25</v>
      </c>
      <c r="H289" s="3" t="s">
        <v>37</v>
      </c>
      <c r="I289" s="6">
        <v>44682</v>
      </c>
      <c r="J289" s="4">
        <v>0</v>
      </c>
      <c r="K289" s="4">
        <v>0</v>
      </c>
      <c r="L289" s="4">
        <v>7.8E-2</v>
      </c>
      <c r="M289" s="4">
        <v>7.8E-2</v>
      </c>
      <c r="N289" s="4">
        <v>7.8E-2</v>
      </c>
      <c r="O289" s="4">
        <v>7.8E-2</v>
      </c>
      <c r="P289" s="4">
        <v>0</v>
      </c>
      <c r="Q289" s="3" t="s">
        <v>26</v>
      </c>
      <c r="R289" s="3">
        <v>0</v>
      </c>
      <c r="S289" s="4">
        <v>0</v>
      </c>
      <c r="T289" s="4">
        <v>43</v>
      </c>
      <c r="U289" s="4">
        <v>81</v>
      </c>
      <c r="V289" s="4">
        <f>IF(ISERROR(VLOOKUP($S$289,'TAR FIN'!$A$1:$O$88,15,0)),0,VLOOKUP($S$289,'TAR FIN'!$A$1:$O$88,15,0))</f>
        <v>0</v>
      </c>
      <c r="W289" s="4">
        <f>IF(ISERROR(VLOOKUP($T$289,'TAR FIN'!$A$1:$O$88,15,0)),0,VLOOKUP($T$289,'TAR FIN'!$A$1:$O$88,15,0))</f>
        <v>881.82</v>
      </c>
      <c r="X289" s="4">
        <f>IF(ISERROR(VLOOKUP($U$289,'TAR FIN'!$A$1:$O$88,15,0)),0,VLOOKUP($U$289,'TAR FIN'!$A$1:$O$88,15,0))</f>
        <v>242.35</v>
      </c>
      <c r="Y289" s="4"/>
      <c r="Z289" s="4">
        <f ca="1">('TUSD BE'!$AM$45+'TUSD BF'!$AM$45+'TUSD CVA'!$AM$45)*1</f>
        <v>1289.7018082650229</v>
      </c>
      <c r="AA289" s="4">
        <f>('TE BE'!$AB$35+'TE BF'!$AB$35+'TE CVA'!$AB$35)*1</f>
        <v>191.00751406315655</v>
      </c>
      <c r="AB289" s="4">
        <f>$K$289*$V$289</f>
        <v>0</v>
      </c>
      <c r="AC289" s="4">
        <f>$M$289*$W$289</f>
        <v>68.781959999999998</v>
      </c>
      <c r="AD289" s="4">
        <f>$O$289*$X$289</f>
        <v>18.903299999999998</v>
      </c>
      <c r="AE289" s="4">
        <f>$K$289*$Y$289</f>
        <v>0</v>
      </c>
      <c r="AF289" s="4">
        <f ca="1">$M$289*$Z$289</f>
        <v>100.59674104467179</v>
      </c>
      <c r="AG289" s="4">
        <f>$O$289*$AA$289</f>
        <v>14.898586096926211</v>
      </c>
    </row>
    <row r="290" spans="1:33" ht="11.25" customHeight="1" x14ac:dyDescent="0.3">
      <c r="A290" s="3" t="s">
        <v>21</v>
      </c>
      <c r="B290" s="3" t="s">
        <v>33</v>
      </c>
      <c r="C290" s="3" t="s">
        <v>40</v>
      </c>
      <c r="D290" s="3" t="s">
        <v>39</v>
      </c>
      <c r="E290" s="3" t="s">
        <v>25</v>
      </c>
      <c r="F290" s="3" t="s">
        <v>25</v>
      </c>
      <c r="G290" s="3" t="s">
        <v>25</v>
      </c>
      <c r="H290" s="3" t="s">
        <v>37</v>
      </c>
      <c r="I290" s="6">
        <v>44713</v>
      </c>
      <c r="J290" s="4">
        <v>0</v>
      </c>
      <c r="K290" s="4">
        <v>0</v>
      </c>
      <c r="L290" s="4">
        <v>0.08</v>
      </c>
      <c r="M290" s="4">
        <v>0.08</v>
      </c>
      <c r="N290" s="4">
        <v>0.08</v>
      </c>
      <c r="O290" s="4">
        <v>0.08</v>
      </c>
      <c r="P290" s="4">
        <v>0</v>
      </c>
      <c r="Q290" s="3" t="s">
        <v>26</v>
      </c>
      <c r="R290" s="3">
        <v>0</v>
      </c>
      <c r="S290" s="4">
        <v>0</v>
      </c>
      <c r="T290" s="4">
        <v>43</v>
      </c>
      <c r="U290" s="4">
        <v>81</v>
      </c>
      <c r="V290" s="4">
        <f>IF(ISERROR(VLOOKUP($S$290,'TAR FIN'!$A$1:$O$88,15,0)),0,VLOOKUP($S$290,'TAR FIN'!$A$1:$O$88,15,0))</f>
        <v>0</v>
      </c>
      <c r="W290" s="4">
        <f>IF(ISERROR(VLOOKUP($T$290,'TAR FIN'!$A$1:$O$88,15,0)),0,VLOOKUP($T$290,'TAR FIN'!$A$1:$O$88,15,0))</f>
        <v>881.82</v>
      </c>
      <c r="X290" s="4">
        <f>IF(ISERROR(VLOOKUP($U$290,'TAR FIN'!$A$1:$O$88,15,0)),0,VLOOKUP($U$290,'TAR FIN'!$A$1:$O$88,15,0))</f>
        <v>242.35</v>
      </c>
      <c r="Y290" s="4"/>
      <c r="Z290" s="4">
        <f ca="1">('TUSD BE'!$AM$45+'TUSD BF'!$AM$45+'TUSD CVA'!$AM$45)*1</f>
        <v>1289.7018082650229</v>
      </c>
      <c r="AA290" s="4">
        <f>('TE BE'!$AB$35+'TE BF'!$AB$35+'TE CVA'!$AB$35)*1</f>
        <v>191.00751406315655</v>
      </c>
      <c r="AB290" s="4">
        <f>$K$290*$V$290</f>
        <v>0</v>
      </c>
      <c r="AC290" s="4">
        <f>$M$290*$W$290</f>
        <v>70.545600000000007</v>
      </c>
      <c r="AD290" s="4">
        <f>$O$290*$X$290</f>
        <v>19.388000000000002</v>
      </c>
      <c r="AE290" s="4">
        <f>$K$290*$Y$290</f>
        <v>0</v>
      </c>
      <c r="AF290" s="4">
        <f ca="1">$M$290*$Z$290</f>
        <v>103.17614466120183</v>
      </c>
      <c r="AG290" s="4">
        <f>$O$290*$AA$290</f>
        <v>15.280601125052524</v>
      </c>
    </row>
    <row r="291" spans="1:33" ht="11.25" customHeight="1" x14ac:dyDescent="0.3">
      <c r="A291" s="3" t="s">
        <v>21</v>
      </c>
      <c r="B291" s="3" t="s">
        <v>33</v>
      </c>
      <c r="C291" s="3" t="s">
        <v>40</v>
      </c>
      <c r="D291" s="3" t="s">
        <v>39</v>
      </c>
      <c r="E291" s="3" t="s">
        <v>25</v>
      </c>
      <c r="F291" s="3" t="s">
        <v>25</v>
      </c>
      <c r="G291" s="3" t="s">
        <v>25</v>
      </c>
      <c r="H291" s="3" t="s">
        <v>37</v>
      </c>
      <c r="I291" s="6">
        <v>44743</v>
      </c>
      <c r="J291" s="4">
        <v>0</v>
      </c>
      <c r="K291" s="4">
        <v>0</v>
      </c>
      <c r="L291" s="4">
        <v>7.8E-2</v>
      </c>
      <c r="M291" s="4">
        <v>7.8E-2</v>
      </c>
      <c r="N291" s="4">
        <v>7.8E-2</v>
      </c>
      <c r="O291" s="4">
        <v>7.8E-2</v>
      </c>
      <c r="P291" s="4">
        <v>0</v>
      </c>
      <c r="Q291" s="3" t="s">
        <v>26</v>
      </c>
      <c r="R291" s="3">
        <v>0</v>
      </c>
      <c r="S291" s="4">
        <v>0</v>
      </c>
      <c r="T291" s="4">
        <v>43</v>
      </c>
      <c r="U291" s="4">
        <v>81</v>
      </c>
      <c r="V291" s="4">
        <f>IF(ISERROR(VLOOKUP($S$291,'TAR FIN'!$A$1:$O$88,15,0)),0,VLOOKUP($S$291,'TAR FIN'!$A$1:$O$88,15,0))</f>
        <v>0</v>
      </c>
      <c r="W291" s="4">
        <f>IF(ISERROR(VLOOKUP($T$291,'TAR FIN'!$A$1:$O$88,15,0)),0,VLOOKUP($T$291,'TAR FIN'!$A$1:$O$88,15,0))</f>
        <v>881.82</v>
      </c>
      <c r="X291" s="4">
        <f>IF(ISERROR(VLOOKUP($U$291,'TAR FIN'!$A$1:$O$88,15,0)),0,VLOOKUP($U$291,'TAR FIN'!$A$1:$O$88,15,0))</f>
        <v>242.35</v>
      </c>
      <c r="Y291" s="4"/>
      <c r="Z291" s="4">
        <f ca="1">('TUSD BE'!$AM$45+'TUSD BF'!$AM$45+'TUSD CVA'!$AM$45)*1</f>
        <v>1289.7018082650229</v>
      </c>
      <c r="AA291" s="4">
        <f>('TE BE'!$AB$35+'TE BF'!$AB$35+'TE CVA'!$AB$35)*1</f>
        <v>191.00751406315655</v>
      </c>
      <c r="AB291" s="4">
        <f>$K$291*$V$291</f>
        <v>0</v>
      </c>
      <c r="AC291" s="4">
        <f>$M$291*$W$291</f>
        <v>68.781959999999998</v>
      </c>
      <c r="AD291" s="4">
        <f>$O$291*$X$291</f>
        <v>18.903299999999998</v>
      </c>
      <c r="AE291" s="4">
        <f>$K$291*$Y$291</f>
        <v>0</v>
      </c>
      <c r="AF291" s="4">
        <f ca="1">$M$291*$Z$291</f>
        <v>100.59674104467179</v>
      </c>
      <c r="AG291" s="4">
        <f>$O$291*$AA$291</f>
        <v>14.898586096926211</v>
      </c>
    </row>
    <row r="292" spans="1:33" ht="11.25" customHeight="1" x14ac:dyDescent="0.3">
      <c r="A292" s="3" t="s">
        <v>55</v>
      </c>
      <c r="B292" s="3" t="s">
        <v>33</v>
      </c>
      <c r="C292" s="3" t="s">
        <v>40</v>
      </c>
      <c r="D292" s="3" t="s">
        <v>39</v>
      </c>
      <c r="E292" s="3" t="s">
        <v>25</v>
      </c>
      <c r="F292" s="3" t="s">
        <v>25</v>
      </c>
      <c r="G292" s="3" t="s">
        <v>25</v>
      </c>
      <c r="H292" s="3" t="s">
        <v>37</v>
      </c>
      <c r="I292" s="6">
        <v>44774</v>
      </c>
      <c r="J292" s="4">
        <v>0</v>
      </c>
      <c r="K292" s="4">
        <v>0</v>
      </c>
      <c r="L292" s="4">
        <v>7.8E-2</v>
      </c>
      <c r="M292" s="4">
        <v>7.8E-2</v>
      </c>
      <c r="N292" s="4">
        <v>7.8E-2</v>
      </c>
      <c r="O292" s="4">
        <v>7.8E-2</v>
      </c>
      <c r="P292" s="4">
        <v>0</v>
      </c>
      <c r="Q292" s="3" t="s">
        <v>26</v>
      </c>
      <c r="R292" s="3">
        <v>0</v>
      </c>
      <c r="S292" s="4">
        <v>0</v>
      </c>
      <c r="T292" s="4">
        <v>43</v>
      </c>
      <c r="U292" s="4">
        <v>81</v>
      </c>
      <c r="V292" s="4">
        <f>IF(ISERROR(VLOOKUP($S$292,'TAR FIN'!$A$1:$O$88,15,0)),0,VLOOKUP($S$292,'TAR FIN'!$A$1:$O$88,15,0))</f>
        <v>0</v>
      </c>
      <c r="W292" s="4">
        <f>IF(ISERROR(VLOOKUP($T$292,'TAR FIN'!$A$1:$O$88,15,0)),0,VLOOKUP($T$292,'TAR FIN'!$A$1:$O$88,15,0))</f>
        <v>881.82</v>
      </c>
      <c r="X292" s="4">
        <f>IF(ISERROR(VLOOKUP($U$292,'TAR FIN'!$A$1:$O$88,15,0)),0,VLOOKUP($U$292,'TAR FIN'!$A$1:$O$88,15,0))</f>
        <v>242.35</v>
      </c>
      <c r="Y292" s="4"/>
      <c r="Z292" s="4">
        <f ca="1">('TUSD BE'!$AM$45+'TUSD BF'!$AM$45+'TUSD CVA'!$AM$45)*1</f>
        <v>1289.7018082650229</v>
      </c>
      <c r="AA292" s="4">
        <f>('TE BE'!$AB$35+'TE BF'!$AB$35+'TE CVA'!$AB$35)*1</f>
        <v>191.00751406315655</v>
      </c>
      <c r="AB292" s="4">
        <f>$K$292*$V$292</f>
        <v>0</v>
      </c>
      <c r="AC292" s="4">
        <f>$M$292*$W$292</f>
        <v>68.781959999999998</v>
      </c>
      <c r="AD292" s="4">
        <f>$O$292*$X$292</f>
        <v>18.903299999999998</v>
      </c>
      <c r="AE292" s="4">
        <f>$K$292*$Y$292</f>
        <v>0</v>
      </c>
      <c r="AF292" s="4">
        <f ca="1">$M$292*$Z$292</f>
        <v>100.59674104467179</v>
      </c>
      <c r="AG292" s="4">
        <f>$O$292*$AA$292</f>
        <v>14.898586096926211</v>
      </c>
    </row>
    <row r="293" spans="1:33" ht="11.25" customHeight="1" x14ac:dyDescent="0.3">
      <c r="A293" s="3" t="s">
        <v>21</v>
      </c>
      <c r="B293" s="3" t="s">
        <v>33</v>
      </c>
      <c r="C293" s="3" t="s">
        <v>23</v>
      </c>
      <c r="D293" s="3" t="s">
        <v>39</v>
      </c>
      <c r="E293" s="3" t="s">
        <v>25</v>
      </c>
      <c r="F293" s="3" t="s">
        <v>25</v>
      </c>
      <c r="G293" s="3" t="s">
        <v>25</v>
      </c>
      <c r="H293" s="3" t="s">
        <v>25</v>
      </c>
      <c r="I293" s="6">
        <v>44440</v>
      </c>
      <c r="J293" s="4">
        <v>0</v>
      </c>
      <c r="K293" s="4">
        <v>0</v>
      </c>
      <c r="L293" s="4">
        <v>158.066</v>
      </c>
      <c r="M293" s="4">
        <v>158.066</v>
      </c>
      <c r="N293" s="4">
        <v>158.066</v>
      </c>
      <c r="O293" s="4">
        <v>158.066</v>
      </c>
      <c r="P293" s="4">
        <v>444</v>
      </c>
      <c r="Q293" s="3" t="s">
        <v>26</v>
      </c>
      <c r="R293" s="3">
        <v>0</v>
      </c>
      <c r="S293" s="4">
        <v>0</v>
      </c>
      <c r="T293" s="4">
        <v>46</v>
      </c>
      <c r="U293" s="4">
        <v>84</v>
      </c>
      <c r="V293" s="4">
        <f>IF(ISERROR(VLOOKUP($S$293,'TAR FIN'!$A$1:$O$88,15,0)),0,VLOOKUP($S$293,'TAR FIN'!$A$1:$O$88,15,0))</f>
        <v>0</v>
      </c>
      <c r="W293" s="4">
        <f>IF(ISERROR(VLOOKUP($T$293,'TAR FIN'!$A$1:$O$88,15,0)),0,VLOOKUP($T$293,'TAR FIN'!$A$1:$O$88,15,0))</f>
        <v>306.19</v>
      </c>
      <c r="X293" s="4">
        <f>IF(ISERROR(VLOOKUP($U$293,'TAR FIN'!$A$1:$O$88,15,0)),0,VLOOKUP($U$293,'TAR FIN'!$A$1:$O$88,15,0))</f>
        <v>242.35</v>
      </c>
      <c r="Y293" s="4"/>
      <c r="Z293" s="4">
        <f ca="1">('TUSD BE'!$AM$48+'TUSD BF'!$AM$48+'TUSD CVA'!$AM$48)*1</f>
        <v>448.02163143730991</v>
      </c>
      <c r="AA293" s="4">
        <f>('TE BE'!$AB$38+'TE BF'!$AB$38+'TE CVA'!$AB$38)*1</f>
        <v>191.00751406315655</v>
      </c>
      <c r="AB293" s="4">
        <f>$K$293*$V$293</f>
        <v>0</v>
      </c>
      <c r="AC293" s="4">
        <f>$M$293*$W$293</f>
        <v>48398.228540000004</v>
      </c>
      <c r="AD293" s="4">
        <f>$O$293*$X$293</f>
        <v>38307.295100000003</v>
      </c>
      <c r="AE293" s="4">
        <f>$K$293*$Y$293</f>
        <v>0</v>
      </c>
      <c r="AF293" s="4">
        <f ca="1">$M$293*$Z$293</f>
        <v>70816.987194769827</v>
      </c>
      <c r="AG293" s="4">
        <f>$O$293*$AA$293</f>
        <v>30191.793717906905</v>
      </c>
    </row>
    <row r="294" spans="1:33" ht="11.25" customHeight="1" x14ac:dyDescent="0.3">
      <c r="A294" s="3" t="s">
        <v>28</v>
      </c>
      <c r="B294" s="3" t="s">
        <v>33</v>
      </c>
      <c r="C294" s="3" t="s">
        <v>23</v>
      </c>
      <c r="D294" s="3" t="s">
        <v>39</v>
      </c>
      <c r="E294" s="3" t="s">
        <v>25</v>
      </c>
      <c r="F294" s="3" t="s">
        <v>25</v>
      </c>
      <c r="G294" s="3" t="s">
        <v>25</v>
      </c>
      <c r="H294" s="3" t="s">
        <v>25</v>
      </c>
      <c r="I294" s="6">
        <v>44440</v>
      </c>
      <c r="J294" s="4">
        <v>0</v>
      </c>
      <c r="K294" s="4">
        <v>0</v>
      </c>
      <c r="L294" s="4">
        <v>14.866</v>
      </c>
      <c r="M294" s="4">
        <v>14.866</v>
      </c>
      <c r="N294" s="4">
        <v>14.866</v>
      </c>
      <c r="O294" s="4">
        <v>14.866</v>
      </c>
      <c r="P294" s="4">
        <v>8</v>
      </c>
      <c r="Q294" s="3" t="s">
        <v>26</v>
      </c>
      <c r="R294" s="3">
        <v>0</v>
      </c>
      <c r="S294" s="4">
        <v>0</v>
      </c>
      <c r="T294" s="4">
        <v>46</v>
      </c>
      <c r="U294" s="4">
        <v>84</v>
      </c>
      <c r="V294" s="4">
        <f>IF(ISERROR(VLOOKUP($S$294,'TAR FIN'!$A$1:$O$88,15,0)),0,VLOOKUP($S$294,'TAR FIN'!$A$1:$O$88,15,0))</f>
        <v>0</v>
      </c>
      <c r="W294" s="4">
        <f>IF(ISERROR(VLOOKUP($T$294,'TAR FIN'!$A$1:$O$88,15,0)),0,VLOOKUP($T$294,'TAR FIN'!$A$1:$O$88,15,0))</f>
        <v>306.19</v>
      </c>
      <c r="X294" s="4">
        <f>IF(ISERROR(VLOOKUP($U$294,'TAR FIN'!$A$1:$O$88,15,0)),0,VLOOKUP($U$294,'TAR FIN'!$A$1:$O$88,15,0))</f>
        <v>242.35</v>
      </c>
      <c r="Y294" s="4"/>
      <c r="Z294" s="4">
        <f ca="1">('TUSD BE'!$AM$48+'TUSD BF'!$AM$48+'TUSD CVA'!$AM$48)*1</f>
        <v>448.02163143730991</v>
      </c>
      <c r="AA294" s="4">
        <f>('TE BE'!$AB$38+'TE BF'!$AB$38+'TE CVA'!$AB$38)*1</f>
        <v>191.00751406315655</v>
      </c>
      <c r="AB294" s="4">
        <f>$K$294*$V$294</f>
        <v>0</v>
      </c>
      <c r="AC294" s="4">
        <f>$M$294*$W$294</f>
        <v>4551.8205399999997</v>
      </c>
      <c r="AD294" s="4">
        <f>$O$294*$X$294</f>
        <v>3602.7750999999998</v>
      </c>
      <c r="AE294" s="4">
        <f>$K$294*$Y$294</f>
        <v>0</v>
      </c>
      <c r="AF294" s="4">
        <f ca="1">$M$294*$Z$294</f>
        <v>6660.2895729470492</v>
      </c>
      <c r="AG294" s="4">
        <f>$O$294*$AA$294</f>
        <v>2839.5177040628851</v>
      </c>
    </row>
    <row r="295" spans="1:33" ht="11.25" customHeight="1" x14ac:dyDescent="0.3">
      <c r="A295" s="3" t="s">
        <v>21</v>
      </c>
      <c r="B295" s="3" t="s">
        <v>33</v>
      </c>
      <c r="C295" s="3" t="s">
        <v>23</v>
      </c>
      <c r="D295" s="3" t="s">
        <v>39</v>
      </c>
      <c r="E295" s="3" t="s">
        <v>25</v>
      </c>
      <c r="F295" s="3" t="s">
        <v>25</v>
      </c>
      <c r="G295" s="3" t="s">
        <v>25</v>
      </c>
      <c r="H295" s="3" t="s">
        <v>25</v>
      </c>
      <c r="I295" s="6">
        <v>44470</v>
      </c>
      <c r="J295" s="4">
        <v>0</v>
      </c>
      <c r="K295" s="4">
        <v>0</v>
      </c>
      <c r="L295" s="4">
        <v>158.61799999999999</v>
      </c>
      <c r="M295" s="4">
        <v>158.61799999999999</v>
      </c>
      <c r="N295" s="4">
        <v>158.61799999999999</v>
      </c>
      <c r="O295" s="4">
        <v>158.61799999999999</v>
      </c>
      <c r="P295" s="4">
        <v>446</v>
      </c>
      <c r="Q295" s="3" t="s">
        <v>26</v>
      </c>
      <c r="R295" s="3">
        <v>0</v>
      </c>
      <c r="S295" s="4">
        <v>0</v>
      </c>
      <c r="T295" s="4">
        <v>46</v>
      </c>
      <c r="U295" s="4">
        <v>84</v>
      </c>
      <c r="V295" s="4">
        <f>IF(ISERROR(VLOOKUP($S$295,'TAR FIN'!$A$1:$O$88,15,0)),0,VLOOKUP($S$295,'TAR FIN'!$A$1:$O$88,15,0))</f>
        <v>0</v>
      </c>
      <c r="W295" s="4">
        <f>IF(ISERROR(VLOOKUP($T$295,'TAR FIN'!$A$1:$O$88,15,0)),0,VLOOKUP($T$295,'TAR FIN'!$A$1:$O$88,15,0))</f>
        <v>306.19</v>
      </c>
      <c r="X295" s="4">
        <f>IF(ISERROR(VLOOKUP($U$295,'TAR FIN'!$A$1:$O$88,15,0)),0,VLOOKUP($U$295,'TAR FIN'!$A$1:$O$88,15,0))</f>
        <v>242.35</v>
      </c>
      <c r="Y295" s="4"/>
      <c r="Z295" s="4">
        <f ca="1">('TUSD BE'!$AM$48+'TUSD BF'!$AM$48+'TUSD CVA'!$AM$48)*1</f>
        <v>448.02163143730991</v>
      </c>
      <c r="AA295" s="4">
        <f>('TE BE'!$AB$38+'TE BF'!$AB$38+'TE CVA'!$AB$38)*1</f>
        <v>191.00751406315655</v>
      </c>
      <c r="AB295" s="4">
        <f>$K$295*$V$295</f>
        <v>0</v>
      </c>
      <c r="AC295" s="4">
        <f>$M$295*$W$295</f>
        <v>48567.245419999999</v>
      </c>
      <c r="AD295" s="4">
        <f>$O$295*$X$295</f>
        <v>38441.0723</v>
      </c>
      <c r="AE295" s="4">
        <f>$K$295*$Y$295</f>
        <v>0</v>
      </c>
      <c r="AF295" s="4">
        <f ca="1">$M$295*$Z$295</f>
        <v>71064.29513532322</v>
      </c>
      <c r="AG295" s="4">
        <f>$O$295*$AA$295</f>
        <v>30297.229865669764</v>
      </c>
    </row>
    <row r="296" spans="1:33" ht="11.25" customHeight="1" x14ac:dyDescent="0.3">
      <c r="A296" s="3" t="s">
        <v>27</v>
      </c>
      <c r="B296" s="3" t="s">
        <v>33</v>
      </c>
      <c r="C296" s="3" t="s">
        <v>23</v>
      </c>
      <c r="D296" s="3" t="s">
        <v>39</v>
      </c>
      <c r="E296" s="3" t="s">
        <v>25</v>
      </c>
      <c r="F296" s="3" t="s">
        <v>25</v>
      </c>
      <c r="G296" s="3" t="s">
        <v>25</v>
      </c>
      <c r="H296" s="3" t="s">
        <v>25</v>
      </c>
      <c r="I296" s="6">
        <v>44470</v>
      </c>
      <c r="J296" s="4">
        <v>0</v>
      </c>
      <c r="K296" s="4">
        <v>0</v>
      </c>
      <c r="L296" s="4">
        <v>0.97199999999999998</v>
      </c>
      <c r="M296" s="4">
        <v>0.97199999999999998</v>
      </c>
      <c r="N296" s="4">
        <v>0.97199999999999998</v>
      </c>
      <c r="O296" s="4">
        <v>0.97199999999999998</v>
      </c>
      <c r="P296" s="4">
        <v>0</v>
      </c>
      <c r="Q296" s="3" t="s">
        <v>26</v>
      </c>
      <c r="R296" s="3">
        <v>0</v>
      </c>
      <c r="S296" s="4">
        <v>0</v>
      </c>
      <c r="T296" s="4">
        <v>46</v>
      </c>
      <c r="U296" s="4">
        <v>84</v>
      </c>
      <c r="V296" s="4">
        <f>IF(ISERROR(VLOOKUP($S$296,'TAR FIN'!$A$1:$O$88,15,0)),0,VLOOKUP($S$296,'TAR FIN'!$A$1:$O$88,15,0))</f>
        <v>0</v>
      </c>
      <c r="W296" s="4">
        <f>IF(ISERROR(VLOOKUP($T$296,'TAR FIN'!$A$1:$O$88,15,0)),0,VLOOKUP($T$296,'TAR FIN'!$A$1:$O$88,15,0))</f>
        <v>306.19</v>
      </c>
      <c r="X296" s="4">
        <f>IF(ISERROR(VLOOKUP($U$296,'TAR FIN'!$A$1:$O$88,15,0)),0,VLOOKUP($U$296,'TAR FIN'!$A$1:$O$88,15,0))</f>
        <v>242.35</v>
      </c>
      <c r="Y296" s="4"/>
      <c r="Z296" s="4">
        <f ca="1">('TUSD BE'!$AM$48+'TUSD BF'!$AM$48+'TUSD CVA'!$AM$48)*1</f>
        <v>448.02163143730991</v>
      </c>
      <c r="AA296" s="4">
        <f>('TE BE'!$AB$38+'TE BF'!$AB$38+'TE CVA'!$AB$38)*1</f>
        <v>191.00751406315655</v>
      </c>
      <c r="AB296" s="4">
        <f>$K$296*$V$296</f>
        <v>0</v>
      </c>
      <c r="AC296" s="4">
        <f>$M$296*$W$296</f>
        <v>297.61667999999997</v>
      </c>
      <c r="AD296" s="4">
        <f>$O$296*$X$296</f>
        <v>235.5642</v>
      </c>
      <c r="AE296" s="4">
        <f>$K$296*$Y$296</f>
        <v>0</v>
      </c>
      <c r="AF296" s="4">
        <f ca="1">$M$296*$Z$296</f>
        <v>435.47702575706523</v>
      </c>
      <c r="AG296" s="4">
        <f>$O$296*$AA$296</f>
        <v>185.65930366938815</v>
      </c>
    </row>
    <row r="297" spans="1:33" ht="11.25" customHeight="1" x14ac:dyDescent="0.3">
      <c r="A297" s="3" t="s">
        <v>28</v>
      </c>
      <c r="B297" s="3" t="s">
        <v>33</v>
      </c>
      <c r="C297" s="3" t="s">
        <v>23</v>
      </c>
      <c r="D297" s="3" t="s">
        <v>39</v>
      </c>
      <c r="E297" s="3" t="s">
        <v>25</v>
      </c>
      <c r="F297" s="3" t="s">
        <v>25</v>
      </c>
      <c r="G297" s="3" t="s">
        <v>25</v>
      </c>
      <c r="H297" s="3" t="s">
        <v>25</v>
      </c>
      <c r="I297" s="6">
        <v>44470</v>
      </c>
      <c r="J297" s="4">
        <v>0</v>
      </c>
      <c r="K297" s="4">
        <v>0</v>
      </c>
      <c r="L297" s="4">
        <v>7.452</v>
      </c>
      <c r="M297" s="4">
        <v>7.452</v>
      </c>
      <c r="N297" s="4">
        <v>7.452</v>
      </c>
      <c r="O297" s="4">
        <v>7.452</v>
      </c>
      <c r="P297" s="4">
        <v>8</v>
      </c>
      <c r="Q297" s="3" t="s">
        <v>26</v>
      </c>
      <c r="R297" s="3">
        <v>0</v>
      </c>
      <c r="S297" s="4">
        <v>0</v>
      </c>
      <c r="T297" s="4">
        <v>46</v>
      </c>
      <c r="U297" s="4">
        <v>84</v>
      </c>
      <c r="V297" s="4">
        <f>IF(ISERROR(VLOOKUP($S$297,'TAR FIN'!$A$1:$O$88,15,0)),0,VLOOKUP($S$297,'TAR FIN'!$A$1:$O$88,15,0))</f>
        <v>0</v>
      </c>
      <c r="W297" s="4">
        <f>IF(ISERROR(VLOOKUP($T$297,'TAR FIN'!$A$1:$O$88,15,0)),0,VLOOKUP($T$297,'TAR FIN'!$A$1:$O$88,15,0))</f>
        <v>306.19</v>
      </c>
      <c r="X297" s="4">
        <f>IF(ISERROR(VLOOKUP($U$297,'TAR FIN'!$A$1:$O$88,15,0)),0,VLOOKUP($U$297,'TAR FIN'!$A$1:$O$88,15,0))</f>
        <v>242.35</v>
      </c>
      <c r="Y297" s="4"/>
      <c r="Z297" s="4">
        <f ca="1">('TUSD BE'!$AM$48+'TUSD BF'!$AM$48+'TUSD CVA'!$AM$48)*1</f>
        <v>448.02163143730991</v>
      </c>
      <c r="AA297" s="4">
        <f>('TE BE'!$AB$38+'TE BF'!$AB$38+'TE CVA'!$AB$38)*1</f>
        <v>191.00751406315655</v>
      </c>
      <c r="AB297" s="4">
        <f>$K$297*$V$297</f>
        <v>0</v>
      </c>
      <c r="AC297" s="4">
        <f>$M$297*$W$297</f>
        <v>2281.7278799999999</v>
      </c>
      <c r="AD297" s="4">
        <f>$O$297*$X$297</f>
        <v>1805.9921999999999</v>
      </c>
      <c r="AE297" s="4">
        <f>$K$297*$Y$297</f>
        <v>0</v>
      </c>
      <c r="AF297" s="4">
        <f ca="1">$M$297*$Z$297</f>
        <v>3338.6571974708336</v>
      </c>
      <c r="AG297" s="4">
        <f>$O$297*$AA$297</f>
        <v>1423.3879947986427</v>
      </c>
    </row>
    <row r="298" spans="1:33" ht="11.25" customHeight="1" x14ac:dyDescent="0.3">
      <c r="A298" s="3" t="s">
        <v>21</v>
      </c>
      <c r="B298" s="3" t="s">
        <v>33</v>
      </c>
      <c r="C298" s="3" t="s">
        <v>23</v>
      </c>
      <c r="D298" s="3" t="s">
        <v>39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178.25899999999999</v>
      </c>
      <c r="M298" s="4">
        <v>178.25899999999999</v>
      </c>
      <c r="N298" s="4">
        <v>178.25899999999999</v>
      </c>
      <c r="O298" s="4">
        <v>178.25899999999999</v>
      </c>
      <c r="P298" s="4">
        <v>444</v>
      </c>
      <c r="Q298" s="3" t="s">
        <v>26</v>
      </c>
      <c r="R298" s="3">
        <v>0</v>
      </c>
      <c r="S298" s="4">
        <v>0</v>
      </c>
      <c r="T298" s="4">
        <v>46</v>
      </c>
      <c r="U298" s="4">
        <v>84</v>
      </c>
      <c r="V298" s="4">
        <f>IF(ISERROR(VLOOKUP($S$298,'TAR FIN'!$A$1:$O$88,15,0)),0,VLOOKUP($S$298,'TAR FIN'!$A$1:$O$88,15,0))</f>
        <v>0</v>
      </c>
      <c r="W298" s="4">
        <f>IF(ISERROR(VLOOKUP($T$298,'TAR FIN'!$A$1:$O$88,15,0)),0,VLOOKUP($T$298,'TAR FIN'!$A$1:$O$88,15,0))</f>
        <v>306.19</v>
      </c>
      <c r="X298" s="4">
        <f>IF(ISERROR(VLOOKUP($U$298,'TAR FIN'!$A$1:$O$88,15,0)),0,VLOOKUP($U$298,'TAR FIN'!$A$1:$O$88,15,0))</f>
        <v>242.35</v>
      </c>
      <c r="Y298" s="4"/>
      <c r="Z298" s="4">
        <f ca="1">('TUSD BE'!$AM$48+'TUSD BF'!$AM$48+'TUSD CVA'!$AM$48)*1</f>
        <v>448.02163143730991</v>
      </c>
      <c r="AA298" s="4">
        <f>('TE BE'!$AB$38+'TE BF'!$AB$38+'TE CVA'!$AB$38)*1</f>
        <v>191.00751406315655</v>
      </c>
      <c r="AB298" s="4">
        <f>$K$298*$V$298</f>
        <v>0</v>
      </c>
      <c r="AC298" s="4">
        <f>$M$298*$W$298</f>
        <v>54581.123209999998</v>
      </c>
      <c r="AD298" s="4">
        <f>$O$298*$X$298</f>
        <v>43201.068649999994</v>
      </c>
      <c r="AE298" s="4">
        <f>$K$298*$Y$298</f>
        <v>0</v>
      </c>
      <c r="AF298" s="4">
        <f ca="1">$M$298*$Z$298</f>
        <v>79863.887998383419</v>
      </c>
      <c r="AG298" s="4">
        <f>$O$298*$AA$298</f>
        <v>34048.808449384218</v>
      </c>
    </row>
    <row r="299" spans="1:33" ht="11.25" customHeight="1" x14ac:dyDescent="0.3">
      <c r="A299" s="3" t="s">
        <v>28</v>
      </c>
      <c r="B299" s="3" t="s">
        <v>33</v>
      </c>
      <c r="C299" s="3" t="s">
        <v>23</v>
      </c>
      <c r="D299" s="3" t="s">
        <v>39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44501</v>
      </c>
      <c r="J299" s="4">
        <v>0</v>
      </c>
      <c r="K299" s="4">
        <v>0</v>
      </c>
      <c r="L299" s="4">
        <v>1.276</v>
      </c>
      <c r="M299" s="4">
        <v>1.276</v>
      </c>
      <c r="N299" s="4">
        <v>1.276</v>
      </c>
      <c r="O299" s="4">
        <v>1.276</v>
      </c>
      <c r="P299" s="4">
        <v>8</v>
      </c>
      <c r="Q299" s="3" t="s">
        <v>26</v>
      </c>
      <c r="R299" s="3">
        <v>0</v>
      </c>
      <c r="S299" s="4">
        <v>0</v>
      </c>
      <c r="T299" s="4">
        <v>46</v>
      </c>
      <c r="U299" s="4">
        <v>84</v>
      </c>
      <c r="V299" s="4">
        <f>IF(ISERROR(VLOOKUP($S$299,'TAR FIN'!$A$1:$O$88,15,0)),0,VLOOKUP($S$299,'TAR FIN'!$A$1:$O$88,15,0))</f>
        <v>0</v>
      </c>
      <c r="W299" s="4">
        <f>IF(ISERROR(VLOOKUP($T$299,'TAR FIN'!$A$1:$O$88,15,0)),0,VLOOKUP($T$299,'TAR FIN'!$A$1:$O$88,15,0))</f>
        <v>306.19</v>
      </c>
      <c r="X299" s="4">
        <f>IF(ISERROR(VLOOKUP($U$299,'TAR FIN'!$A$1:$O$88,15,0)),0,VLOOKUP($U$299,'TAR FIN'!$A$1:$O$88,15,0))</f>
        <v>242.35</v>
      </c>
      <c r="Y299" s="4"/>
      <c r="Z299" s="4">
        <f ca="1">('TUSD BE'!$AM$48+'TUSD BF'!$AM$48+'TUSD CVA'!$AM$48)*1</f>
        <v>448.02163143730991</v>
      </c>
      <c r="AA299" s="4">
        <f>('TE BE'!$AB$38+'TE BF'!$AB$38+'TE CVA'!$AB$38)*1</f>
        <v>191.00751406315655</v>
      </c>
      <c r="AB299" s="4">
        <f>$K$299*$V$299</f>
        <v>0</v>
      </c>
      <c r="AC299" s="4">
        <f>$M$299*$W$299</f>
        <v>390.69844000000001</v>
      </c>
      <c r="AD299" s="4">
        <f>$O$299*$X$299</f>
        <v>309.23860000000002</v>
      </c>
      <c r="AE299" s="4">
        <f>$K$299*$Y$299</f>
        <v>0</v>
      </c>
      <c r="AF299" s="4">
        <f ca="1">$M$299*$Z$299</f>
        <v>571.67560171400748</v>
      </c>
      <c r="AG299" s="4">
        <f>$O$299*$AA$299</f>
        <v>243.72558794458777</v>
      </c>
    </row>
    <row r="300" spans="1:33" ht="11.25" customHeight="1" x14ac:dyDescent="0.3">
      <c r="A300" s="3" t="s">
        <v>21</v>
      </c>
      <c r="B300" s="3" t="s">
        <v>33</v>
      </c>
      <c r="C300" s="3" t="s">
        <v>23</v>
      </c>
      <c r="D300" s="3" t="s">
        <v>39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192.08699999999999</v>
      </c>
      <c r="M300" s="4">
        <v>192.08699999999999</v>
      </c>
      <c r="N300" s="4">
        <v>192.08699999999999</v>
      </c>
      <c r="O300" s="4">
        <v>192.08699999999999</v>
      </c>
      <c r="P300" s="4">
        <v>443</v>
      </c>
      <c r="Q300" s="3" t="s">
        <v>26</v>
      </c>
      <c r="R300" s="3">
        <v>0</v>
      </c>
      <c r="S300" s="4">
        <v>0</v>
      </c>
      <c r="T300" s="4">
        <v>46</v>
      </c>
      <c r="U300" s="4">
        <v>84</v>
      </c>
      <c r="V300" s="4">
        <f>IF(ISERROR(VLOOKUP($S$300,'TAR FIN'!$A$1:$O$88,15,0)),0,VLOOKUP($S$300,'TAR FIN'!$A$1:$O$88,15,0))</f>
        <v>0</v>
      </c>
      <c r="W300" s="4">
        <f>IF(ISERROR(VLOOKUP($T$300,'TAR FIN'!$A$1:$O$88,15,0)),0,VLOOKUP($T$300,'TAR FIN'!$A$1:$O$88,15,0))</f>
        <v>306.19</v>
      </c>
      <c r="X300" s="4">
        <f>IF(ISERROR(VLOOKUP($U$300,'TAR FIN'!$A$1:$O$88,15,0)),0,VLOOKUP($U$300,'TAR FIN'!$A$1:$O$88,15,0))</f>
        <v>242.35</v>
      </c>
      <c r="Y300" s="4"/>
      <c r="Z300" s="4">
        <f ca="1">('TUSD BE'!$AM$48+'TUSD BF'!$AM$48+'TUSD CVA'!$AM$48)*1</f>
        <v>448.02163143730991</v>
      </c>
      <c r="AA300" s="4">
        <f>('TE BE'!$AB$38+'TE BF'!$AB$38+'TE CVA'!$AB$38)*1</f>
        <v>191.00751406315655</v>
      </c>
      <c r="AB300" s="4">
        <f>$K$300*$V$300</f>
        <v>0</v>
      </c>
      <c r="AC300" s="4">
        <f>$M$300*$W$300</f>
        <v>58815.11853</v>
      </c>
      <c r="AD300" s="4">
        <f>$O$300*$X$300</f>
        <v>46552.284449999999</v>
      </c>
      <c r="AE300" s="4">
        <f>$K$300*$Y$300</f>
        <v>0</v>
      </c>
      <c r="AF300" s="4">
        <f ca="1">$M$300*$Z$300</f>
        <v>86059.131117898549</v>
      </c>
      <c r="AG300" s="4">
        <f>$O$300*$AA$300</f>
        <v>36690.060353849549</v>
      </c>
    </row>
    <row r="301" spans="1:33" ht="11.25" customHeight="1" x14ac:dyDescent="0.3">
      <c r="A301" s="3" t="s">
        <v>28</v>
      </c>
      <c r="B301" s="3" t="s">
        <v>33</v>
      </c>
      <c r="C301" s="3" t="s">
        <v>23</v>
      </c>
      <c r="D301" s="3" t="s">
        <v>39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44531</v>
      </c>
      <c r="J301" s="4">
        <v>0</v>
      </c>
      <c r="K301" s="4">
        <v>0</v>
      </c>
      <c r="L301" s="4">
        <v>1.4910000000000001</v>
      </c>
      <c r="M301" s="4">
        <v>1.4910000000000001</v>
      </c>
      <c r="N301" s="4">
        <v>1.4910000000000001</v>
      </c>
      <c r="O301" s="4">
        <v>1.4910000000000001</v>
      </c>
      <c r="P301" s="4">
        <v>8</v>
      </c>
      <c r="Q301" s="3" t="s">
        <v>26</v>
      </c>
      <c r="R301" s="3">
        <v>0</v>
      </c>
      <c r="S301" s="4">
        <v>0</v>
      </c>
      <c r="T301" s="4">
        <v>46</v>
      </c>
      <c r="U301" s="4">
        <v>84</v>
      </c>
      <c r="V301" s="4">
        <f>IF(ISERROR(VLOOKUP($S$301,'TAR FIN'!$A$1:$O$88,15,0)),0,VLOOKUP($S$301,'TAR FIN'!$A$1:$O$88,15,0))</f>
        <v>0</v>
      </c>
      <c r="W301" s="4">
        <f>IF(ISERROR(VLOOKUP($T$301,'TAR FIN'!$A$1:$O$88,15,0)),0,VLOOKUP($T$301,'TAR FIN'!$A$1:$O$88,15,0))</f>
        <v>306.19</v>
      </c>
      <c r="X301" s="4">
        <f>IF(ISERROR(VLOOKUP($U$301,'TAR FIN'!$A$1:$O$88,15,0)),0,VLOOKUP($U$301,'TAR FIN'!$A$1:$O$88,15,0))</f>
        <v>242.35</v>
      </c>
      <c r="Y301" s="4"/>
      <c r="Z301" s="4">
        <f ca="1">('TUSD BE'!$AM$48+'TUSD BF'!$AM$48+'TUSD CVA'!$AM$48)*1</f>
        <v>448.02163143730991</v>
      </c>
      <c r="AA301" s="4">
        <f>('TE BE'!$AB$38+'TE BF'!$AB$38+'TE CVA'!$AB$38)*1</f>
        <v>191.00751406315655</v>
      </c>
      <c r="AB301" s="4">
        <f>$K$301*$V$301</f>
        <v>0</v>
      </c>
      <c r="AC301" s="4">
        <f>$M$301*$W$301</f>
        <v>456.52929</v>
      </c>
      <c r="AD301" s="4">
        <f>$O$301*$X$301</f>
        <v>361.34385000000003</v>
      </c>
      <c r="AE301" s="4">
        <f>$K$301*$Y$301</f>
        <v>0</v>
      </c>
      <c r="AF301" s="4">
        <f ca="1">$M$301*$Z$301</f>
        <v>668.00025247302915</v>
      </c>
      <c r="AG301" s="4">
        <f>$O$301*$AA$301</f>
        <v>284.79220346816641</v>
      </c>
    </row>
    <row r="302" spans="1:33" ht="11.25" customHeight="1" x14ac:dyDescent="0.3">
      <c r="A302" s="3" t="s">
        <v>21</v>
      </c>
      <c r="B302" s="3" t="s">
        <v>33</v>
      </c>
      <c r="C302" s="3" t="s">
        <v>23</v>
      </c>
      <c r="D302" s="3" t="s">
        <v>39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44562</v>
      </c>
      <c r="J302" s="4">
        <v>0</v>
      </c>
      <c r="K302" s="4">
        <v>0</v>
      </c>
      <c r="L302" s="4">
        <v>195.72300000000001</v>
      </c>
      <c r="M302" s="4">
        <v>195.72300000000001</v>
      </c>
      <c r="N302" s="4">
        <v>195.72300000000001</v>
      </c>
      <c r="O302" s="4">
        <v>195.72300000000001</v>
      </c>
      <c r="P302" s="4">
        <v>444</v>
      </c>
      <c r="Q302" s="3" t="s">
        <v>26</v>
      </c>
      <c r="R302" s="3">
        <v>0</v>
      </c>
      <c r="S302" s="4">
        <v>0</v>
      </c>
      <c r="T302" s="4">
        <v>46</v>
      </c>
      <c r="U302" s="4">
        <v>84</v>
      </c>
      <c r="V302" s="4">
        <f>IF(ISERROR(VLOOKUP($S$302,'TAR FIN'!$A$1:$O$88,15,0)),0,VLOOKUP($S$302,'TAR FIN'!$A$1:$O$88,15,0))</f>
        <v>0</v>
      </c>
      <c r="W302" s="4">
        <f>IF(ISERROR(VLOOKUP($T$302,'TAR FIN'!$A$1:$O$88,15,0)),0,VLOOKUP($T$302,'TAR FIN'!$A$1:$O$88,15,0))</f>
        <v>306.19</v>
      </c>
      <c r="X302" s="4">
        <f>IF(ISERROR(VLOOKUP($U$302,'TAR FIN'!$A$1:$O$88,15,0)),0,VLOOKUP($U$302,'TAR FIN'!$A$1:$O$88,15,0))</f>
        <v>242.35</v>
      </c>
      <c r="Y302" s="4"/>
      <c r="Z302" s="4">
        <f ca="1">('TUSD BE'!$AM$48+'TUSD BF'!$AM$48+'TUSD CVA'!$AM$48)*1</f>
        <v>448.02163143730991</v>
      </c>
      <c r="AA302" s="4">
        <f>('TE BE'!$AB$38+'TE BF'!$AB$38+'TE CVA'!$AB$38)*1</f>
        <v>191.00751406315655</v>
      </c>
      <c r="AB302" s="4">
        <f>$K$302*$V$302</f>
        <v>0</v>
      </c>
      <c r="AC302" s="4">
        <f>$M$302*$W$302</f>
        <v>59928.425370000004</v>
      </c>
      <c r="AD302" s="4">
        <f>$O$302*$X$302</f>
        <v>47433.46905</v>
      </c>
      <c r="AE302" s="4">
        <f>$K$302*$Y$302</f>
        <v>0</v>
      </c>
      <c r="AF302" s="4">
        <f ca="1">$M$302*$Z$302</f>
        <v>87688.137769804613</v>
      </c>
      <c r="AG302" s="4">
        <f>$O$302*$AA$302</f>
        <v>37384.56367498319</v>
      </c>
    </row>
    <row r="303" spans="1:33" ht="11.25" customHeight="1" x14ac:dyDescent="0.3">
      <c r="A303" s="3" t="s">
        <v>28</v>
      </c>
      <c r="B303" s="3" t="s">
        <v>33</v>
      </c>
      <c r="C303" s="3" t="s">
        <v>23</v>
      </c>
      <c r="D303" s="3" t="s">
        <v>39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44562</v>
      </c>
      <c r="J303" s="4">
        <v>0</v>
      </c>
      <c r="K303" s="4">
        <v>0</v>
      </c>
      <c r="L303" s="4">
        <v>2.5579999999999998</v>
      </c>
      <c r="M303" s="4">
        <v>2.5579999999999998</v>
      </c>
      <c r="N303" s="4">
        <v>2.5579999999999998</v>
      </c>
      <c r="O303" s="4">
        <v>2.5579999999999998</v>
      </c>
      <c r="P303" s="4">
        <v>8</v>
      </c>
      <c r="Q303" s="3" t="s">
        <v>26</v>
      </c>
      <c r="R303" s="3">
        <v>0</v>
      </c>
      <c r="S303" s="4">
        <v>0</v>
      </c>
      <c r="T303" s="4">
        <v>46</v>
      </c>
      <c r="U303" s="4">
        <v>84</v>
      </c>
      <c r="V303" s="4">
        <f>IF(ISERROR(VLOOKUP($S$303,'TAR FIN'!$A$1:$O$88,15,0)),0,VLOOKUP($S$303,'TAR FIN'!$A$1:$O$88,15,0))</f>
        <v>0</v>
      </c>
      <c r="W303" s="4">
        <f>IF(ISERROR(VLOOKUP($T$303,'TAR FIN'!$A$1:$O$88,15,0)),0,VLOOKUP($T$303,'TAR FIN'!$A$1:$O$88,15,0))</f>
        <v>306.19</v>
      </c>
      <c r="X303" s="4">
        <f>IF(ISERROR(VLOOKUP($U$303,'TAR FIN'!$A$1:$O$88,15,0)),0,VLOOKUP($U$303,'TAR FIN'!$A$1:$O$88,15,0))</f>
        <v>242.35</v>
      </c>
      <c r="Y303" s="4"/>
      <c r="Z303" s="4">
        <f ca="1">('TUSD BE'!$AM$48+'TUSD BF'!$AM$48+'TUSD CVA'!$AM$48)*1</f>
        <v>448.02163143730991</v>
      </c>
      <c r="AA303" s="4">
        <f>('TE BE'!$AB$38+'TE BF'!$AB$38+'TE CVA'!$AB$38)*1</f>
        <v>191.00751406315655</v>
      </c>
      <c r="AB303" s="4">
        <f>$K$303*$V$303</f>
        <v>0</v>
      </c>
      <c r="AC303" s="4">
        <f>$M$303*$W$303</f>
        <v>783.23401999999999</v>
      </c>
      <c r="AD303" s="4">
        <f>$O$303*$X$303</f>
        <v>619.93129999999996</v>
      </c>
      <c r="AE303" s="4">
        <f>$K$303*$Y$303</f>
        <v>0</v>
      </c>
      <c r="AF303" s="4">
        <f ca="1">$M$303*$Z$303</f>
        <v>1146.0393332166386</v>
      </c>
      <c r="AG303" s="4">
        <f>$O$303*$AA$303</f>
        <v>488.59722097355444</v>
      </c>
    </row>
    <row r="304" spans="1:33" ht="11.25" customHeight="1" x14ac:dyDescent="0.3">
      <c r="A304" s="3" t="s">
        <v>21</v>
      </c>
      <c r="B304" s="3" t="s">
        <v>33</v>
      </c>
      <c r="C304" s="3" t="s">
        <v>23</v>
      </c>
      <c r="D304" s="3" t="s">
        <v>39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44593</v>
      </c>
      <c r="J304" s="4">
        <v>0</v>
      </c>
      <c r="K304" s="4">
        <v>0</v>
      </c>
      <c r="L304" s="4">
        <v>259.84300000000002</v>
      </c>
      <c r="M304" s="4">
        <v>259.84300000000002</v>
      </c>
      <c r="N304" s="4">
        <v>259.84300000000002</v>
      </c>
      <c r="O304" s="4">
        <v>259.84300000000002</v>
      </c>
      <c r="P304" s="4">
        <v>447</v>
      </c>
      <c r="Q304" s="3" t="s">
        <v>26</v>
      </c>
      <c r="R304" s="3">
        <v>0</v>
      </c>
      <c r="S304" s="4">
        <v>0</v>
      </c>
      <c r="T304" s="4">
        <v>46</v>
      </c>
      <c r="U304" s="4">
        <v>84</v>
      </c>
      <c r="V304" s="4">
        <f>IF(ISERROR(VLOOKUP($S$304,'TAR FIN'!$A$1:$O$88,15,0)),0,VLOOKUP($S$304,'TAR FIN'!$A$1:$O$88,15,0))</f>
        <v>0</v>
      </c>
      <c r="W304" s="4">
        <f>IF(ISERROR(VLOOKUP($T$304,'TAR FIN'!$A$1:$O$88,15,0)),0,VLOOKUP($T$304,'TAR FIN'!$A$1:$O$88,15,0))</f>
        <v>306.19</v>
      </c>
      <c r="X304" s="4">
        <f>IF(ISERROR(VLOOKUP($U$304,'TAR FIN'!$A$1:$O$88,15,0)),0,VLOOKUP($U$304,'TAR FIN'!$A$1:$O$88,15,0))</f>
        <v>242.35</v>
      </c>
      <c r="Y304" s="4"/>
      <c r="Z304" s="4">
        <f ca="1">('TUSD BE'!$AM$48+'TUSD BF'!$AM$48+'TUSD CVA'!$AM$48)*1</f>
        <v>448.02163143730991</v>
      </c>
      <c r="AA304" s="4">
        <f>('TE BE'!$AB$38+'TE BF'!$AB$38+'TE CVA'!$AB$38)*1</f>
        <v>191.00751406315655</v>
      </c>
      <c r="AB304" s="4">
        <f>$K$304*$V$304</f>
        <v>0</v>
      </c>
      <c r="AC304" s="4">
        <f>$M$304*$W$304</f>
        <v>79561.328170000008</v>
      </c>
      <c r="AD304" s="4">
        <f>$O$304*$X$304</f>
        <v>62972.951050000003</v>
      </c>
      <c r="AE304" s="4">
        <f>$K$304*$Y$304</f>
        <v>0</v>
      </c>
      <c r="AF304" s="4">
        <f ca="1">$M$304*$Z$304</f>
        <v>116415.28477756493</v>
      </c>
      <c r="AG304" s="4">
        <f>$O$304*$AA$304</f>
        <v>49631.965476712794</v>
      </c>
    </row>
    <row r="305" spans="1:33" ht="11.25" customHeight="1" x14ac:dyDescent="0.3">
      <c r="A305" s="3" t="s">
        <v>27</v>
      </c>
      <c r="B305" s="3" t="s">
        <v>33</v>
      </c>
      <c r="C305" s="3" t="s">
        <v>23</v>
      </c>
      <c r="D305" s="3" t="s">
        <v>39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44593</v>
      </c>
      <c r="J305" s="4">
        <v>0</v>
      </c>
      <c r="K305" s="4">
        <v>0</v>
      </c>
      <c r="L305" s="4">
        <v>-0.86299999999999999</v>
      </c>
      <c r="M305" s="4">
        <v>-0.86299999999999999</v>
      </c>
      <c r="N305" s="4">
        <v>-0.86299999999999999</v>
      </c>
      <c r="O305" s="4">
        <v>-0.86299999999999999</v>
      </c>
      <c r="P305" s="4">
        <v>0</v>
      </c>
      <c r="Q305" s="3" t="s">
        <v>26</v>
      </c>
      <c r="R305" s="3">
        <v>0</v>
      </c>
      <c r="S305" s="4">
        <v>0</v>
      </c>
      <c r="T305" s="4">
        <v>46</v>
      </c>
      <c r="U305" s="4">
        <v>84</v>
      </c>
      <c r="V305" s="4">
        <f>IF(ISERROR(VLOOKUP($S$305,'TAR FIN'!$A$1:$O$88,15,0)),0,VLOOKUP($S$305,'TAR FIN'!$A$1:$O$88,15,0))</f>
        <v>0</v>
      </c>
      <c r="W305" s="4">
        <f>IF(ISERROR(VLOOKUP($T$305,'TAR FIN'!$A$1:$O$88,15,0)),0,VLOOKUP($T$305,'TAR FIN'!$A$1:$O$88,15,0))</f>
        <v>306.19</v>
      </c>
      <c r="X305" s="4">
        <f>IF(ISERROR(VLOOKUP($U$305,'TAR FIN'!$A$1:$O$88,15,0)),0,VLOOKUP($U$305,'TAR FIN'!$A$1:$O$88,15,0))</f>
        <v>242.35</v>
      </c>
      <c r="Y305" s="4"/>
      <c r="Z305" s="4">
        <f ca="1">('TUSD BE'!$AM$48+'TUSD BF'!$AM$48+'TUSD CVA'!$AM$48)*1</f>
        <v>448.02163143730991</v>
      </c>
      <c r="AA305" s="4">
        <f>('TE BE'!$AB$38+'TE BF'!$AB$38+'TE CVA'!$AB$38)*1</f>
        <v>191.00751406315655</v>
      </c>
      <c r="AB305" s="4">
        <f>$K$305*$V$305</f>
        <v>0</v>
      </c>
      <c r="AC305" s="4">
        <f>$M$305*$W$305</f>
        <v>-264.24196999999998</v>
      </c>
      <c r="AD305" s="4">
        <f>$O$305*$X$305</f>
        <v>-209.14804999999998</v>
      </c>
      <c r="AE305" s="4">
        <f>$K$305*$Y$305</f>
        <v>0</v>
      </c>
      <c r="AF305" s="4">
        <f ca="1">$M$305*$Z$305</f>
        <v>-386.64266793039843</v>
      </c>
      <c r="AG305" s="4">
        <f>$O$305*$AA$305</f>
        <v>-164.8394846365041</v>
      </c>
    </row>
    <row r="306" spans="1:33" ht="11.25" customHeight="1" x14ac:dyDescent="0.3">
      <c r="A306" s="3" t="s">
        <v>28</v>
      </c>
      <c r="B306" s="3" t="s">
        <v>33</v>
      </c>
      <c r="C306" s="3" t="s">
        <v>23</v>
      </c>
      <c r="D306" s="3" t="s">
        <v>39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44593</v>
      </c>
      <c r="J306" s="4">
        <v>0</v>
      </c>
      <c r="K306" s="4">
        <v>0</v>
      </c>
      <c r="L306" s="4">
        <v>6.4580000000000002</v>
      </c>
      <c r="M306" s="4">
        <v>6.4580000000000002</v>
      </c>
      <c r="N306" s="4">
        <v>6.4580000000000002</v>
      </c>
      <c r="O306" s="4">
        <v>6.4580000000000002</v>
      </c>
      <c r="P306" s="4">
        <v>7</v>
      </c>
      <c r="Q306" s="3" t="s">
        <v>26</v>
      </c>
      <c r="R306" s="3">
        <v>0</v>
      </c>
      <c r="S306" s="4">
        <v>0</v>
      </c>
      <c r="T306" s="4">
        <v>46</v>
      </c>
      <c r="U306" s="4">
        <v>84</v>
      </c>
      <c r="V306" s="4">
        <f>IF(ISERROR(VLOOKUP($S$306,'TAR FIN'!$A$1:$O$88,15,0)),0,VLOOKUP($S$306,'TAR FIN'!$A$1:$O$88,15,0))</f>
        <v>0</v>
      </c>
      <c r="W306" s="4">
        <f>IF(ISERROR(VLOOKUP($T$306,'TAR FIN'!$A$1:$O$88,15,0)),0,VLOOKUP($T$306,'TAR FIN'!$A$1:$O$88,15,0))</f>
        <v>306.19</v>
      </c>
      <c r="X306" s="4">
        <f>IF(ISERROR(VLOOKUP($U$306,'TAR FIN'!$A$1:$O$88,15,0)),0,VLOOKUP($U$306,'TAR FIN'!$A$1:$O$88,15,0))</f>
        <v>242.35</v>
      </c>
      <c r="Y306" s="4"/>
      <c r="Z306" s="4">
        <f ca="1">('TUSD BE'!$AM$48+'TUSD BF'!$AM$48+'TUSD CVA'!$AM$48)*1</f>
        <v>448.02163143730991</v>
      </c>
      <c r="AA306" s="4">
        <f>('TE BE'!$AB$38+'TE BF'!$AB$38+'TE CVA'!$AB$38)*1</f>
        <v>191.00751406315655</v>
      </c>
      <c r="AB306" s="4">
        <f>$K$306*$V$306</f>
        <v>0</v>
      </c>
      <c r="AC306" s="4">
        <f>$M$306*$W$306</f>
        <v>1977.3750199999999</v>
      </c>
      <c r="AD306" s="4">
        <f>$O$306*$X$306</f>
        <v>1565.0962999999999</v>
      </c>
      <c r="AE306" s="4">
        <f>$K$306*$Y$306</f>
        <v>0</v>
      </c>
      <c r="AF306" s="4">
        <f ca="1">$M$306*$Z$306</f>
        <v>2893.3236958221473</v>
      </c>
      <c r="AG306" s="4">
        <f>$O$306*$AA$306</f>
        <v>1233.5265258198651</v>
      </c>
    </row>
    <row r="307" spans="1:33" ht="11.25" customHeight="1" x14ac:dyDescent="0.3">
      <c r="A307" s="3" t="s">
        <v>21</v>
      </c>
      <c r="B307" s="3" t="s">
        <v>33</v>
      </c>
      <c r="C307" s="3" t="s">
        <v>23</v>
      </c>
      <c r="D307" s="3" t="s">
        <v>39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44621</v>
      </c>
      <c r="J307" s="4">
        <v>0</v>
      </c>
      <c r="K307" s="4">
        <v>0</v>
      </c>
      <c r="L307" s="4">
        <v>210.20400000000001</v>
      </c>
      <c r="M307" s="4">
        <v>210.20400000000001</v>
      </c>
      <c r="N307" s="4">
        <v>210.20400000000001</v>
      </c>
      <c r="O307" s="4">
        <v>210.20400000000001</v>
      </c>
      <c r="P307" s="4">
        <v>447</v>
      </c>
      <c r="Q307" s="3" t="s">
        <v>26</v>
      </c>
      <c r="R307" s="3">
        <v>0</v>
      </c>
      <c r="S307" s="4">
        <v>0</v>
      </c>
      <c r="T307" s="4">
        <v>46</v>
      </c>
      <c r="U307" s="4">
        <v>84</v>
      </c>
      <c r="V307" s="4">
        <f>IF(ISERROR(VLOOKUP($S$307,'TAR FIN'!$A$1:$O$88,15,0)),0,VLOOKUP($S$307,'TAR FIN'!$A$1:$O$88,15,0))</f>
        <v>0</v>
      </c>
      <c r="W307" s="4">
        <f>IF(ISERROR(VLOOKUP($T$307,'TAR FIN'!$A$1:$O$88,15,0)),0,VLOOKUP($T$307,'TAR FIN'!$A$1:$O$88,15,0))</f>
        <v>306.19</v>
      </c>
      <c r="X307" s="4">
        <f>IF(ISERROR(VLOOKUP($U$307,'TAR FIN'!$A$1:$O$88,15,0)),0,VLOOKUP($U$307,'TAR FIN'!$A$1:$O$88,15,0))</f>
        <v>242.35</v>
      </c>
      <c r="Y307" s="4"/>
      <c r="Z307" s="4">
        <f ca="1">('TUSD BE'!$AM$48+'TUSD BF'!$AM$48+'TUSD CVA'!$AM$48)*1</f>
        <v>448.02163143730991</v>
      </c>
      <c r="AA307" s="4">
        <f>('TE BE'!$AB$38+'TE BF'!$AB$38+'TE CVA'!$AB$38)*1</f>
        <v>191.00751406315655</v>
      </c>
      <c r="AB307" s="4">
        <f>$K$307*$V$307</f>
        <v>0</v>
      </c>
      <c r="AC307" s="4">
        <f>$M$307*$W$307</f>
        <v>64362.362760000004</v>
      </c>
      <c r="AD307" s="4">
        <f>$O$307*$X$307</f>
        <v>50942.939400000003</v>
      </c>
      <c r="AE307" s="4">
        <f>$K$307*$Y$307</f>
        <v>0</v>
      </c>
      <c r="AF307" s="4">
        <f ca="1">$M$307*$Z$307</f>
        <v>94175.939014648291</v>
      </c>
      <c r="AG307" s="4">
        <f>$O$307*$AA$307</f>
        <v>40150.543486131763</v>
      </c>
    </row>
    <row r="308" spans="1:33" ht="11.25" customHeight="1" x14ac:dyDescent="0.3">
      <c r="A308" s="3" t="s">
        <v>28</v>
      </c>
      <c r="B308" s="3" t="s">
        <v>33</v>
      </c>
      <c r="C308" s="3" t="s">
        <v>23</v>
      </c>
      <c r="D308" s="3" t="s">
        <v>39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3.919</v>
      </c>
      <c r="M308" s="4">
        <v>3.919</v>
      </c>
      <c r="N308" s="4">
        <v>3.919</v>
      </c>
      <c r="O308" s="4">
        <v>3.919</v>
      </c>
      <c r="P308" s="4">
        <v>7</v>
      </c>
      <c r="Q308" s="3" t="s">
        <v>26</v>
      </c>
      <c r="R308" s="3">
        <v>0</v>
      </c>
      <c r="S308" s="4">
        <v>0</v>
      </c>
      <c r="T308" s="4">
        <v>46</v>
      </c>
      <c r="U308" s="4">
        <v>84</v>
      </c>
      <c r="V308" s="4">
        <f>IF(ISERROR(VLOOKUP($S$308,'TAR FIN'!$A$1:$O$88,15,0)),0,VLOOKUP($S$308,'TAR FIN'!$A$1:$O$88,15,0))</f>
        <v>0</v>
      </c>
      <c r="W308" s="4">
        <f>IF(ISERROR(VLOOKUP($T$308,'TAR FIN'!$A$1:$O$88,15,0)),0,VLOOKUP($T$308,'TAR FIN'!$A$1:$O$88,15,0))</f>
        <v>306.19</v>
      </c>
      <c r="X308" s="4">
        <f>IF(ISERROR(VLOOKUP($U$308,'TAR FIN'!$A$1:$O$88,15,0)),0,VLOOKUP($U$308,'TAR FIN'!$A$1:$O$88,15,0))</f>
        <v>242.35</v>
      </c>
      <c r="Y308" s="4"/>
      <c r="Z308" s="4">
        <f ca="1">('TUSD BE'!$AM$48+'TUSD BF'!$AM$48+'TUSD CVA'!$AM$48)*1</f>
        <v>448.02163143730991</v>
      </c>
      <c r="AA308" s="4">
        <f>('TE BE'!$AB$38+'TE BF'!$AB$38+'TE CVA'!$AB$38)*1</f>
        <v>191.00751406315655</v>
      </c>
      <c r="AB308" s="4">
        <f>$K$308*$V$308</f>
        <v>0</v>
      </c>
      <c r="AC308" s="4">
        <f>$M$308*$W$308</f>
        <v>1199.9586099999999</v>
      </c>
      <c r="AD308" s="4">
        <f>$O$308*$X$308</f>
        <v>949.76964999999996</v>
      </c>
      <c r="AE308" s="4">
        <f>$K$308*$Y$308</f>
        <v>0</v>
      </c>
      <c r="AF308" s="4">
        <f ca="1">$M$308*$Z$308</f>
        <v>1755.7967736028174</v>
      </c>
      <c r="AG308" s="4">
        <f>$O$308*$AA$308</f>
        <v>748.55844761351057</v>
      </c>
    </row>
    <row r="309" spans="1:33" ht="11.25" customHeight="1" x14ac:dyDescent="0.3">
      <c r="A309" s="3" t="s">
        <v>21</v>
      </c>
      <c r="B309" s="3" t="s">
        <v>33</v>
      </c>
      <c r="C309" s="3" t="s">
        <v>23</v>
      </c>
      <c r="D309" s="3" t="s">
        <v>39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44652</v>
      </c>
      <c r="J309" s="4">
        <v>0</v>
      </c>
      <c r="K309" s="4">
        <v>0</v>
      </c>
      <c r="L309" s="4">
        <v>179.47399999999999</v>
      </c>
      <c r="M309" s="4">
        <v>179.47399999999999</v>
      </c>
      <c r="N309" s="4">
        <v>179.47399999999999</v>
      </c>
      <c r="O309" s="4">
        <v>179.47399999999999</v>
      </c>
      <c r="P309" s="4">
        <v>447</v>
      </c>
      <c r="Q309" s="3" t="s">
        <v>26</v>
      </c>
      <c r="R309" s="3">
        <v>0</v>
      </c>
      <c r="S309" s="4">
        <v>0</v>
      </c>
      <c r="T309" s="4">
        <v>46</v>
      </c>
      <c r="U309" s="4">
        <v>84</v>
      </c>
      <c r="V309" s="4">
        <f>IF(ISERROR(VLOOKUP($S$309,'TAR FIN'!$A$1:$O$88,15,0)),0,VLOOKUP($S$309,'TAR FIN'!$A$1:$O$88,15,0))</f>
        <v>0</v>
      </c>
      <c r="W309" s="4">
        <f>IF(ISERROR(VLOOKUP($T$309,'TAR FIN'!$A$1:$O$88,15,0)),0,VLOOKUP($T$309,'TAR FIN'!$A$1:$O$88,15,0))</f>
        <v>306.19</v>
      </c>
      <c r="X309" s="4">
        <f>IF(ISERROR(VLOOKUP($U$309,'TAR FIN'!$A$1:$O$88,15,0)),0,VLOOKUP($U$309,'TAR FIN'!$A$1:$O$88,15,0))</f>
        <v>242.35</v>
      </c>
      <c r="Y309" s="4"/>
      <c r="Z309" s="4">
        <f ca="1">('TUSD BE'!$AM$48+'TUSD BF'!$AM$48+'TUSD CVA'!$AM$48)*1</f>
        <v>448.02163143730991</v>
      </c>
      <c r="AA309" s="4">
        <f>('TE BE'!$AB$38+'TE BF'!$AB$38+'TE CVA'!$AB$38)*1</f>
        <v>191.00751406315655</v>
      </c>
      <c r="AB309" s="4">
        <f>$K$309*$V$309</f>
        <v>0</v>
      </c>
      <c r="AC309" s="4">
        <f>$M$309*$W$309</f>
        <v>54953.144059999999</v>
      </c>
      <c r="AD309" s="4">
        <f>$O$309*$X$309</f>
        <v>43495.523899999993</v>
      </c>
      <c r="AE309" s="4">
        <f>$K$309*$Y$309</f>
        <v>0</v>
      </c>
      <c r="AF309" s="4">
        <f ca="1">$M$309*$Z$309</f>
        <v>80408.234280579753</v>
      </c>
      <c r="AG309" s="4">
        <f>$O$309*$AA$309</f>
        <v>34280.882578970959</v>
      </c>
    </row>
    <row r="310" spans="1:33" ht="11.25" customHeight="1" x14ac:dyDescent="0.3">
      <c r="A310" s="3" t="s">
        <v>27</v>
      </c>
      <c r="B310" s="3" t="s">
        <v>33</v>
      </c>
      <c r="C310" s="3" t="s">
        <v>23</v>
      </c>
      <c r="D310" s="3" t="s">
        <v>39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44652</v>
      </c>
      <c r="J310" s="4">
        <v>0</v>
      </c>
      <c r="K310" s="4">
        <v>0</v>
      </c>
      <c r="L310" s="4">
        <v>-0.34599999999999997</v>
      </c>
      <c r="M310" s="4">
        <v>-0.34599999999999997</v>
      </c>
      <c r="N310" s="4">
        <v>-0.34599999999999997</v>
      </c>
      <c r="O310" s="4">
        <v>-0.34599999999999997</v>
      </c>
      <c r="P310" s="4">
        <v>0</v>
      </c>
      <c r="Q310" s="3" t="s">
        <v>26</v>
      </c>
      <c r="R310" s="3">
        <v>0</v>
      </c>
      <c r="S310" s="4">
        <v>0</v>
      </c>
      <c r="T310" s="4">
        <v>46</v>
      </c>
      <c r="U310" s="4">
        <v>84</v>
      </c>
      <c r="V310" s="4">
        <f>IF(ISERROR(VLOOKUP($S$310,'TAR FIN'!$A$1:$O$88,15,0)),0,VLOOKUP($S$310,'TAR FIN'!$A$1:$O$88,15,0))</f>
        <v>0</v>
      </c>
      <c r="W310" s="4">
        <f>IF(ISERROR(VLOOKUP($T$310,'TAR FIN'!$A$1:$O$88,15,0)),0,VLOOKUP($T$310,'TAR FIN'!$A$1:$O$88,15,0))</f>
        <v>306.19</v>
      </c>
      <c r="X310" s="4">
        <f>IF(ISERROR(VLOOKUP($U$310,'TAR FIN'!$A$1:$O$88,15,0)),0,VLOOKUP($U$310,'TAR FIN'!$A$1:$O$88,15,0))</f>
        <v>242.35</v>
      </c>
      <c r="Y310" s="4"/>
      <c r="Z310" s="4">
        <f ca="1">('TUSD BE'!$AM$48+'TUSD BF'!$AM$48+'TUSD CVA'!$AM$48)*1</f>
        <v>448.02163143730991</v>
      </c>
      <c r="AA310" s="4">
        <f>('TE BE'!$AB$38+'TE BF'!$AB$38+'TE CVA'!$AB$38)*1</f>
        <v>191.00751406315655</v>
      </c>
      <c r="AB310" s="4">
        <f>$K$310*$V$310</f>
        <v>0</v>
      </c>
      <c r="AC310" s="4">
        <f>$M$310*$W$310</f>
        <v>-105.94174</v>
      </c>
      <c r="AD310" s="4">
        <f>$O$310*$X$310</f>
        <v>-83.853099999999998</v>
      </c>
      <c r="AE310" s="4">
        <f>$K$310*$Y$310</f>
        <v>0</v>
      </c>
      <c r="AF310" s="4">
        <f ca="1">$M$310*$Z$310</f>
        <v>-155.01548447730923</v>
      </c>
      <c r="AG310" s="4">
        <f>$O$310*$AA$310</f>
        <v>-66.08859986585216</v>
      </c>
    </row>
    <row r="311" spans="1:33" ht="11.25" customHeight="1" x14ac:dyDescent="0.3">
      <c r="A311" s="3" t="s">
        <v>28</v>
      </c>
      <c r="B311" s="3" t="s">
        <v>33</v>
      </c>
      <c r="C311" s="3" t="s">
        <v>23</v>
      </c>
      <c r="D311" s="3" t="s">
        <v>39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44652</v>
      </c>
      <c r="J311" s="4">
        <v>0</v>
      </c>
      <c r="K311" s="4">
        <v>0</v>
      </c>
      <c r="L311" s="4">
        <v>2.3570000000000002</v>
      </c>
      <c r="M311" s="4">
        <v>2.3570000000000002</v>
      </c>
      <c r="N311" s="4">
        <v>2.3570000000000002</v>
      </c>
      <c r="O311" s="4">
        <v>2.3570000000000002</v>
      </c>
      <c r="P311" s="4">
        <v>7</v>
      </c>
      <c r="Q311" s="3" t="s">
        <v>26</v>
      </c>
      <c r="R311" s="3">
        <v>0</v>
      </c>
      <c r="S311" s="4">
        <v>0</v>
      </c>
      <c r="T311" s="4">
        <v>46</v>
      </c>
      <c r="U311" s="4">
        <v>84</v>
      </c>
      <c r="V311" s="4">
        <f>IF(ISERROR(VLOOKUP($S$311,'TAR FIN'!$A$1:$O$88,15,0)),0,VLOOKUP($S$311,'TAR FIN'!$A$1:$O$88,15,0))</f>
        <v>0</v>
      </c>
      <c r="W311" s="4">
        <f>IF(ISERROR(VLOOKUP($T$311,'TAR FIN'!$A$1:$O$88,15,0)),0,VLOOKUP($T$311,'TAR FIN'!$A$1:$O$88,15,0))</f>
        <v>306.19</v>
      </c>
      <c r="X311" s="4">
        <f>IF(ISERROR(VLOOKUP($U$311,'TAR FIN'!$A$1:$O$88,15,0)),0,VLOOKUP($U$311,'TAR FIN'!$A$1:$O$88,15,0))</f>
        <v>242.35</v>
      </c>
      <c r="Y311" s="4"/>
      <c r="Z311" s="4">
        <f ca="1">('TUSD BE'!$AM$48+'TUSD BF'!$AM$48+'TUSD CVA'!$AM$48)*1</f>
        <v>448.02163143730991</v>
      </c>
      <c r="AA311" s="4">
        <f>('TE BE'!$AB$38+'TE BF'!$AB$38+'TE CVA'!$AB$38)*1</f>
        <v>191.00751406315655</v>
      </c>
      <c r="AB311" s="4">
        <f>$K$311*$V$311</f>
        <v>0</v>
      </c>
      <c r="AC311" s="4">
        <f>$M$311*$W$311</f>
        <v>721.68983000000003</v>
      </c>
      <c r="AD311" s="4">
        <f>$O$311*$X$311</f>
        <v>571.21895000000006</v>
      </c>
      <c r="AE311" s="4">
        <f>$K$311*$Y$311</f>
        <v>0</v>
      </c>
      <c r="AF311" s="4">
        <f ca="1">$M$311*$Z$311</f>
        <v>1055.9869852977395</v>
      </c>
      <c r="AG311" s="4">
        <f>$O$311*$AA$311</f>
        <v>450.20471064686001</v>
      </c>
    </row>
    <row r="312" spans="1:33" ht="11.25" customHeight="1" x14ac:dyDescent="0.3">
      <c r="A312" s="3" t="s">
        <v>21</v>
      </c>
      <c r="B312" s="3" t="s">
        <v>33</v>
      </c>
      <c r="C312" s="3" t="s">
        <v>23</v>
      </c>
      <c r="D312" s="3" t="s">
        <v>39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44682</v>
      </c>
      <c r="J312" s="4">
        <v>0</v>
      </c>
      <c r="K312" s="4">
        <v>0</v>
      </c>
      <c r="L312" s="4">
        <v>156.58600000000001</v>
      </c>
      <c r="M312" s="4">
        <v>156.58600000000001</v>
      </c>
      <c r="N312" s="4">
        <v>156.58600000000001</v>
      </c>
      <c r="O312" s="4">
        <v>156.58600000000001</v>
      </c>
      <c r="P312" s="4">
        <v>447</v>
      </c>
      <c r="Q312" s="3" t="s">
        <v>26</v>
      </c>
      <c r="R312" s="3">
        <v>0</v>
      </c>
      <c r="S312" s="4">
        <v>0</v>
      </c>
      <c r="T312" s="4">
        <v>46</v>
      </c>
      <c r="U312" s="4">
        <v>84</v>
      </c>
      <c r="V312" s="4">
        <f>IF(ISERROR(VLOOKUP($S$312,'TAR FIN'!$A$1:$O$88,15,0)),0,VLOOKUP($S$312,'TAR FIN'!$A$1:$O$88,15,0))</f>
        <v>0</v>
      </c>
      <c r="W312" s="4">
        <f>IF(ISERROR(VLOOKUP($T$312,'TAR FIN'!$A$1:$O$88,15,0)),0,VLOOKUP($T$312,'TAR FIN'!$A$1:$O$88,15,0))</f>
        <v>306.19</v>
      </c>
      <c r="X312" s="4">
        <f>IF(ISERROR(VLOOKUP($U$312,'TAR FIN'!$A$1:$O$88,15,0)),0,VLOOKUP($U$312,'TAR FIN'!$A$1:$O$88,15,0))</f>
        <v>242.35</v>
      </c>
      <c r="Y312" s="4"/>
      <c r="Z312" s="4">
        <f ca="1">('TUSD BE'!$AM$48+'TUSD BF'!$AM$48+'TUSD CVA'!$AM$48)*1</f>
        <v>448.02163143730991</v>
      </c>
      <c r="AA312" s="4">
        <f>('TE BE'!$AB$38+'TE BF'!$AB$38+'TE CVA'!$AB$38)*1</f>
        <v>191.00751406315655</v>
      </c>
      <c r="AB312" s="4">
        <f>$K$312*$V$312</f>
        <v>0</v>
      </c>
      <c r="AC312" s="4">
        <f>$M$312*$W$312</f>
        <v>47945.067340000001</v>
      </c>
      <c r="AD312" s="4">
        <f>$O$312*$X$312</f>
        <v>37948.617100000003</v>
      </c>
      <c r="AE312" s="4">
        <f>$K$312*$Y$312</f>
        <v>0</v>
      </c>
      <c r="AF312" s="4">
        <f ca="1">$M$312*$Z$312</f>
        <v>70153.91518024262</v>
      </c>
      <c r="AG312" s="4">
        <f>$O$312*$AA$312</f>
        <v>29909.102597093435</v>
      </c>
    </row>
    <row r="313" spans="1:33" ht="11.25" customHeight="1" x14ac:dyDescent="0.3">
      <c r="A313" s="3" t="s">
        <v>28</v>
      </c>
      <c r="B313" s="3" t="s">
        <v>33</v>
      </c>
      <c r="C313" s="3" t="s">
        <v>23</v>
      </c>
      <c r="D313" s="3" t="s">
        <v>39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44682</v>
      </c>
      <c r="J313" s="4">
        <v>0</v>
      </c>
      <c r="K313" s="4">
        <v>0</v>
      </c>
      <c r="L313" s="4">
        <v>1.2909999999999999</v>
      </c>
      <c r="M313" s="4">
        <v>1.2909999999999999</v>
      </c>
      <c r="N313" s="4">
        <v>1.2909999999999999</v>
      </c>
      <c r="O313" s="4">
        <v>1.2909999999999999</v>
      </c>
      <c r="P313" s="4">
        <v>8</v>
      </c>
      <c r="Q313" s="3" t="s">
        <v>26</v>
      </c>
      <c r="R313" s="3">
        <v>0</v>
      </c>
      <c r="S313" s="4">
        <v>0</v>
      </c>
      <c r="T313" s="4">
        <v>46</v>
      </c>
      <c r="U313" s="4">
        <v>84</v>
      </c>
      <c r="V313" s="4">
        <f>IF(ISERROR(VLOOKUP($S$313,'TAR FIN'!$A$1:$O$88,15,0)),0,VLOOKUP($S$313,'TAR FIN'!$A$1:$O$88,15,0))</f>
        <v>0</v>
      </c>
      <c r="W313" s="4">
        <f>IF(ISERROR(VLOOKUP($T$313,'TAR FIN'!$A$1:$O$88,15,0)),0,VLOOKUP($T$313,'TAR FIN'!$A$1:$O$88,15,0))</f>
        <v>306.19</v>
      </c>
      <c r="X313" s="4">
        <f>IF(ISERROR(VLOOKUP($U$313,'TAR FIN'!$A$1:$O$88,15,0)),0,VLOOKUP($U$313,'TAR FIN'!$A$1:$O$88,15,0))</f>
        <v>242.35</v>
      </c>
      <c r="Y313" s="4"/>
      <c r="Z313" s="4">
        <f ca="1">('TUSD BE'!$AM$48+'TUSD BF'!$AM$48+'TUSD CVA'!$AM$48)*1</f>
        <v>448.02163143730991</v>
      </c>
      <c r="AA313" s="4">
        <f>('TE BE'!$AB$38+'TE BF'!$AB$38+'TE CVA'!$AB$38)*1</f>
        <v>191.00751406315655</v>
      </c>
      <c r="AB313" s="4">
        <f>$K$313*$V$313</f>
        <v>0</v>
      </c>
      <c r="AC313" s="4">
        <f>$M$313*$W$313</f>
        <v>395.29128999999995</v>
      </c>
      <c r="AD313" s="4">
        <f>$O$313*$X$313</f>
        <v>312.87384999999995</v>
      </c>
      <c r="AE313" s="4">
        <f>$K$313*$Y$313</f>
        <v>0</v>
      </c>
      <c r="AF313" s="4">
        <f ca="1">$M$313*$Z$313</f>
        <v>578.39592618556708</v>
      </c>
      <c r="AG313" s="4">
        <f>$O$313*$AA$313</f>
        <v>246.5907006555351</v>
      </c>
    </row>
    <row r="314" spans="1:33" ht="11.25" customHeight="1" x14ac:dyDescent="0.3">
      <c r="A314" s="3" t="s">
        <v>21</v>
      </c>
      <c r="B314" s="3" t="s">
        <v>33</v>
      </c>
      <c r="C314" s="3" t="s">
        <v>23</v>
      </c>
      <c r="D314" s="3" t="s">
        <v>39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44713</v>
      </c>
      <c r="J314" s="4">
        <v>0</v>
      </c>
      <c r="K314" s="4">
        <v>0</v>
      </c>
      <c r="L314" s="4">
        <v>165.26300000000001</v>
      </c>
      <c r="M314" s="4">
        <v>165.26300000000001</v>
      </c>
      <c r="N314" s="4">
        <v>165.26300000000001</v>
      </c>
      <c r="O314" s="4">
        <v>165.26300000000001</v>
      </c>
      <c r="P314" s="4">
        <v>442</v>
      </c>
      <c r="Q314" s="3" t="s">
        <v>26</v>
      </c>
      <c r="R314" s="3">
        <v>0</v>
      </c>
      <c r="S314" s="4">
        <v>0</v>
      </c>
      <c r="T314" s="4">
        <v>46</v>
      </c>
      <c r="U314" s="4">
        <v>84</v>
      </c>
      <c r="V314" s="4">
        <f>IF(ISERROR(VLOOKUP($S$314,'TAR FIN'!$A$1:$O$88,15,0)),0,VLOOKUP($S$314,'TAR FIN'!$A$1:$O$88,15,0))</f>
        <v>0</v>
      </c>
      <c r="W314" s="4">
        <f>IF(ISERROR(VLOOKUP($T$314,'TAR FIN'!$A$1:$O$88,15,0)),0,VLOOKUP($T$314,'TAR FIN'!$A$1:$O$88,15,0))</f>
        <v>306.19</v>
      </c>
      <c r="X314" s="4">
        <f>IF(ISERROR(VLOOKUP($U$314,'TAR FIN'!$A$1:$O$88,15,0)),0,VLOOKUP($U$314,'TAR FIN'!$A$1:$O$88,15,0))</f>
        <v>242.35</v>
      </c>
      <c r="Y314" s="4"/>
      <c r="Z314" s="4">
        <f ca="1">('TUSD BE'!$AM$48+'TUSD BF'!$AM$48+'TUSD CVA'!$AM$48)*1</f>
        <v>448.02163143730991</v>
      </c>
      <c r="AA314" s="4">
        <f>('TE BE'!$AB$38+'TE BF'!$AB$38+'TE CVA'!$AB$38)*1</f>
        <v>191.00751406315655</v>
      </c>
      <c r="AB314" s="4">
        <f>$K$314*$V$314</f>
        <v>0</v>
      </c>
      <c r="AC314" s="4">
        <f>$M$314*$W$314</f>
        <v>50601.877970000001</v>
      </c>
      <c r="AD314" s="4">
        <f>$O$314*$X$314</f>
        <v>40051.48805</v>
      </c>
      <c r="AE314" s="4">
        <f>$K$314*$Y$314</f>
        <v>0</v>
      </c>
      <c r="AF314" s="4">
        <f ca="1">$M$314*$Z$314</f>
        <v>74041.39887622415</v>
      </c>
      <c r="AG314" s="4">
        <f>$O$314*$AA$314</f>
        <v>31566.474796619441</v>
      </c>
    </row>
    <row r="315" spans="1:33" ht="11.25" customHeight="1" x14ac:dyDescent="0.3">
      <c r="A315" s="3" t="s">
        <v>28</v>
      </c>
      <c r="B315" s="3" t="s">
        <v>33</v>
      </c>
      <c r="C315" s="3" t="s">
        <v>23</v>
      </c>
      <c r="D315" s="3" t="s">
        <v>39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44713</v>
      </c>
      <c r="J315" s="4">
        <v>0</v>
      </c>
      <c r="K315" s="4">
        <v>0</v>
      </c>
      <c r="L315" s="4">
        <v>1.6359999999999999</v>
      </c>
      <c r="M315" s="4">
        <v>1.6359999999999999</v>
      </c>
      <c r="N315" s="4">
        <v>1.6359999999999999</v>
      </c>
      <c r="O315" s="4">
        <v>1.6359999999999999</v>
      </c>
      <c r="P315" s="4">
        <v>8</v>
      </c>
      <c r="Q315" s="3" t="s">
        <v>26</v>
      </c>
      <c r="R315" s="3">
        <v>0</v>
      </c>
      <c r="S315" s="4">
        <v>0</v>
      </c>
      <c r="T315" s="4">
        <v>46</v>
      </c>
      <c r="U315" s="4">
        <v>84</v>
      </c>
      <c r="V315" s="4">
        <f>IF(ISERROR(VLOOKUP($S$315,'TAR FIN'!$A$1:$O$88,15,0)),0,VLOOKUP($S$315,'TAR FIN'!$A$1:$O$88,15,0))</f>
        <v>0</v>
      </c>
      <c r="W315" s="4">
        <f>IF(ISERROR(VLOOKUP($T$315,'TAR FIN'!$A$1:$O$88,15,0)),0,VLOOKUP($T$315,'TAR FIN'!$A$1:$O$88,15,0))</f>
        <v>306.19</v>
      </c>
      <c r="X315" s="4">
        <f>IF(ISERROR(VLOOKUP($U$315,'TAR FIN'!$A$1:$O$88,15,0)),0,VLOOKUP($U$315,'TAR FIN'!$A$1:$O$88,15,0))</f>
        <v>242.35</v>
      </c>
      <c r="Y315" s="4"/>
      <c r="Z315" s="4">
        <f ca="1">('TUSD BE'!$AM$48+'TUSD BF'!$AM$48+'TUSD CVA'!$AM$48)*1</f>
        <v>448.02163143730991</v>
      </c>
      <c r="AA315" s="4">
        <f>('TE BE'!$AB$38+'TE BF'!$AB$38+'TE CVA'!$AB$38)*1</f>
        <v>191.00751406315655</v>
      </c>
      <c r="AB315" s="4">
        <f>$K$315*$V$315</f>
        <v>0</v>
      </c>
      <c r="AC315" s="4">
        <f>$M$315*$W$315</f>
        <v>500.92683999999997</v>
      </c>
      <c r="AD315" s="4">
        <f>$O$315*$X$315</f>
        <v>396.48459999999994</v>
      </c>
      <c r="AE315" s="4">
        <f>$K$315*$Y$315</f>
        <v>0</v>
      </c>
      <c r="AF315" s="4">
        <f ca="1">$M$315*$Z$315</f>
        <v>732.96338903143896</v>
      </c>
      <c r="AG315" s="4">
        <f>$O$315*$AA$315</f>
        <v>312.4882930073241</v>
      </c>
    </row>
    <row r="316" spans="1:33" ht="11.25" customHeight="1" x14ac:dyDescent="0.3">
      <c r="A316" s="3" t="s">
        <v>21</v>
      </c>
      <c r="B316" s="3" t="s">
        <v>33</v>
      </c>
      <c r="C316" s="3" t="s">
        <v>23</v>
      </c>
      <c r="D316" s="3" t="s">
        <v>39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44743</v>
      </c>
      <c r="J316" s="4">
        <v>0</v>
      </c>
      <c r="K316" s="4">
        <v>0</v>
      </c>
      <c r="L316" s="4">
        <v>160.21700000000001</v>
      </c>
      <c r="M316" s="4">
        <v>160.21700000000001</v>
      </c>
      <c r="N316" s="4">
        <v>160.21700000000001</v>
      </c>
      <c r="O316" s="4">
        <v>160.21700000000001</v>
      </c>
      <c r="P316" s="4">
        <v>442</v>
      </c>
      <c r="Q316" s="3" t="s">
        <v>26</v>
      </c>
      <c r="R316" s="3">
        <v>0</v>
      </c>
      <c r="S316" s="4">
        <v>0</v>
      </c>
      <c r="T316" s="4">
        <v>46</v>
      </c>
      <c r="U316" s="4">
        <v>84</v>
      </c>
      <c r="V316" s="4">
        <f>IF(ISERROR(VLOOKUP($S$316,'TAR FIN'!$A$1:$O$88,15,0)),0,VLOOKUP($S$316,'TAR FIN'!$A$1:$O$88,15,0))</f>
        <v>0</v>
      </c>
      <c r="W316" s="4">
        <f>IF(ISERROR(VLOOKUP($T$316,'TAR FIN'!$A$1:$O$88,15,0)),0,VLOOKUP($T$316,'TAR FIN'!$A$1:$O$88,15,0))</f>
        <v>306.19</v>
      </c>
      <c r="X316" s="4">
        <f>IF(ISERROR(VLOOKUP($U$316,'TAR FIN'!$A$1:$O$88,15,0)),0,VLOOKUP($U$316,'TAR FIN'!$A$1:$O$88,15,0))</f>
        <v>242.35</v>
      </c>
      <c r="Y316" s="4"/>
      <c r="Z316" s="4">
        <f ca="1">('TUSD BE'!$AM$48+'TUSD BF'!$AM$48+'TUSD CVA'!$AM$48)*1</f>
        <v>448.02163143730991</v>
      </c>
      <c r="AA316" s="4">
        <f>('TE BE'!$AB$38+'TE BF'!$AB$38+'TE CVA'!$AB$38)*1</f>
        <v>191.00751406315655</v>
      </c>
      <c r="AB316" s="4">
        <f>$K$316*$V$316</f>
        <v>0</v>
      </c>
      <c r="AC316" s="4">
        <f>$M$316*$W$316</f>
        <v>49056.843230000006</v>
      </c>
      <c r="AD316" s="4">
        <f>$O$316*$X$316</f>
        <v>38828.589950000001</v>
      </c>
      <c r="AE316" s="4">
        <f>$K$316*$Y$316</f>
        <v>0</v>
      </c>
      <c r="AF316" s="4">
        <f ca="1">$M$316*$Z$316</f>
        <v>71780.681723991482</v>
      </c>
      <c r="AG316" s="4">
        <f>$O$316*$AA$316</f>
        <v>30602.650880656754</v>
      </c>
    </row>
    <row r="317" spans="1:33" ht="11.25" customHeight="1" x14ac:dyDescent="0.3">
      <c r="A317" s="3" t="s">
        <v>28</v>
      </c>
      <c r="B317" s="3" t="s">
        <v>33</v>
      </c>
      <c r="C317" s="3" t="s">
        <v>23</v>
      </c>
      <c r="D317" s="3" t="s">
        <v>39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44743</v>
      </c>
      <c r="J317" s="4">
        <v>0</v>
      </c>
      <c r="K317" s="4">
        <v>0</v>
      </c>
      <c r="L317" s="4">
        <v>3.056</v>
      </c>
      <c r="M317" s="4">
        <v>3.056</v>
      </c>
      <c r="N317" s="4">
        <v>3.056</v>
      </c>
      <c r="O317" s="4">
        <v>3.056</v>
      </c>
      <c r="P317" s="4">
        <v>8</v>
      </c>
      <c r="Q317" s="3" t="s">
        <v>26</v>
      </c>
      <c r="R317" s="3">
        <v>0</v>
      </c>
      <c r="S317" s="4">
        <v>0</v>
      </c>
      <c r="T317" s="4">
        <v>46</v>
      </c>
      <c r="U317" s="4">
        <v>84</v>
      </c>
      <c r="V317" s="4">
        <f>IF(ISERROR(VLOOKUP($S$317,'TAR FIN'!$A$1:$O$88,15,0)),0,VLOOKUP($S$317,'TAR FIN'!$A$1:$O$88,15,0))</f>
        <v>0</v>
      </c>
      <c r="W317" s="4">
        <f>IF(ISERROR(VLOOKUP($T$317,'TAR FIN'!$A$1:$O$88,15,0)),0,VLOOKUP($T$317,'TAR FIN'!$A$1:$O$88,15,0))</f>
        <v>306.19</v>
      </c>
      <c r="X317" s="4">
        <f>IF(ISERROR(VLOOKUP($U$317,'TAR FIN'!$A$1:$O$88,15,0)),0,VLOOKUP($U$317,'TAR FIN'!$A$1:$O$88,15,0))</f>
        <v>242.35</v>
      </c>
      <c r="Y317" s="4"/>
      <c r="Z317" s="4">
        <f ca="1">('TUSD BE'!$AM$48+'TUSD BF'!$AM$48+'TUSD CVA'!$AM$48)*1</f>
        <v>448.02163143730991</v>
      </c>
      <c r="AA317" s="4">
        <f>('TE BE'!$AB$38+'TE BF'!$AB$38+'TE CVA'!$AB$38)*1</f>
        <v>191.00751406315655</v>
      </c>
      <c r="AB317" s="4">
        <f>$K$317*$V$317</f>
        <v>0</v>
      </c>
      <c r="AC317" s="4">
        <f>$M$317*$W$317</f>
        <v>935.71663999999998</v>
      </c>
      <c r="AD317" s="4">
        <f>$O$317*$X$317</f>
        <v>740.62159999999994</v>
      </c>
      <c r="AE317" s="4">
        <f>$K$317*$Y$317</f>
        <v>0</v>
      </c>
      <c r="AF317" s="4">
        <f ca="1">$M$317*$Z$317</f>
        <v>1369.1541056724191</v>
      </c>
      <c r="AG317" s="4">
        <f>$O$317*$AA$317</f>
        <v>583.71896297700641</v>
      </c>
    </row>
    <row r="318" spans="1:33" ht="11.25" customHeight="1" x14ac:dyDescent="0.3">
      <c r="A318" s="3" t="s">
        <v>55</v>
      </c>
      <c r="B318" s="3" t="s">
        <v>33</v>
      </c>
      <c r="C318" s="3" t="s">
        <v>23</v>
      </c>
      <c r="D318" s="3" t="s">
        <v>39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44774</v>
      </c>
      <c r="J318" s="4">
        <v>0</v>
      </c>
      <c r="K318" s="4">
        <v>0</v>
      </c>
      <c r="L318" s="4">
        <v>160.21700000000001</v>
      </c>
      <c r="M318" s="4">
        <v>160.21700000000001</v>
      </c>
      <c r="N318" s="4">
        <v>160.21700000000001</v>
      </c>
      <c r="O318" s="4">
        <v>160.21700000000001</v>
      </c>
      <c r="P318" s="4">
        <v>442</v>
      </c>
      <c r="Q318" s="3" t="s">
        <v>26</v>
      </c>
      <c r="R318" s="3">
        <v>0</v>
      </c>
      <c r="S318" s="4">
        <v>0</v>
      </c>
      <c r="T318" s="4">
        <v>46</v>
      </c>
      <c r="U318" s="4">
        <v>84</v>
      </c>
      <c r="V318" s="4">
        <f>IF(ISERROR(VLOOKUP($S$318,'TAR FIN'!$A$1:$O$88,15,0)),0,VLOOKUP($S$318,'TAR FIN'!$A$1:$O$88,15,0))</f>
        <v>0</v>
      </c>
      <c r="W318" s="4">
        <f>IF(ISERROR(VLOOKUP($T$318,'TAR FIN'!$A$1:$O$88,15,0)),0,VLOOKUP($T$318,'TAR FIN'!$A$1:$O$88,15,0))</f>
        <v>306.19</v>
      </c>
      <c r="X318" s="4">
        <f>IF(ISERROR(VLOOKUP($U$318,'TAR FIN'!$A$1:$O$88,15,0)),0,VLOOKUP($U$318,'TAR FIN'!$A$1:$O$88,15,0))</f>
        <v>242.35</v>
      </c>
      <c r="Y318" s="4"/>
      <c r="Z318" s="4">
        <f ca="1">('TUSD BE'!$AM$48+'TUSD BF'!$AM$48+'TUSD CVA'!$AM$48)*1</f>
        <v>448.02163143730991</v>
      </c>
      <c r="AA318" s="4">
        <f>('TE BE'!$AB$38+'TE BF'!$AB$38+'TE CVA'!$AB$38)*1</f>
        <v>191.00751406315655</v>
      </c>
      <c r="AB318" s="4">
        <f>$K$318*$V$318</f>
        <v>0</v>
      </c>
      <c r="AC318" s="4">
        <f>$M$318*$W$318</f>
        <v>49056.843230000006</v>
      </c>
      <c r="AD318" s="4">
        <f>$O$318*$X$318</f>
        <v>38828.589950000001</v>
      </c>
      <c r="AE318" s="4">
        <f>$K$318*$Y$318</f>
        <v>0</v>
      </c>
      <c r="AF318" s="4">
        <f ca="1">$M$318*$Z$318</f>
        <v>71780.681723991482</v>
      </c>
      <c r="AG318" s="4">
        <f>$O$318*$AA$318</f>
        <v>30602.650880656754</v>
      </c>
    </row>
    <row r="319" spans="1:33" ht="11.25" customHeight="1" x14ac:dyDescent="0.3">
      <c r="A319" s="3" t="s">
        <v>55</v>
      </c>
      <c r="B319" s="3" t="s">
        <v>33</v>
      </c>
      <c r="C319" s="3" t="s">
        <v>23</v>
      </c>
      <c r="D319" s="3" t="s">
        <v>39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3.056</v>
      </c>
      <c r="M319" s="4">
        <v>3.056</v>
      </c>
      <c r="N319" s="4">
        <v>3.056</v>
      </c>
      <c r="O319" s="4">
        <v>3.056</v>
      </c>
      <c r="P319" s="4">
        <v>8</v>
      </c>
      <c r="Q319" s="3" t="s">
        <v>26</v>
      </c>
      <c r="R319" s="3">
        <v>0</v>
      </c>
      <c r="S319" s="4">
        <v>0</v>
      </c>
      <c r="T319" s="4">
        <v>46</v>
      </c>
      <c r="U319" s="4">
        <v>84</v>
      </c>
      <c r="V319" s="4">
        <f>IF(ISERROR(VLOOKUP($S$319,'TAR FIN'!$A$1:$O$88,15,0)),0,VLOOKUP($S$319,'TAR FIN'!$A$1:$O$88,15,0))</f>
        <v>0</v>
      </c>
      <c r="W319" s="4">
        <f>IF(ISERROR(VLOOKUP($T$319,'TAR FIN'!$A$1:$O$88,15,0)),0,VLOOKUP($T$319,'TAR FIN'!$A$1:$O$88,15,0))</f>
        <v>306.19</v>
      </c>
      <c r="X319" s="4">
        <f>IF(ISERROR(VLOOKUP($U$319,'TAR FIN'!$A$1:$O$88,15,0)),0,VLOOKUP($U$319,'TAR FIN'!$A$1:$O$88,15,0))</f>
        <v>242.35</v>
      </c>
      <c r="Y319" s="4"/>
      <c r="Z319" s="4">
        <f ca="1">('TUSD BE'!$AM$48+'TUSD BF'!$AM$48+'TUSD CVA'!$AM$48)*1</f>
        <v>448.02163143730991</v>
      </c>
      <c r="AA319" s="4">
        <f>('TE BE'!$AB$38+'TE BF'!$AB$38+'TE CVA'!$AB$38)*1</f>
        <v>191.00751406315655</v>
      </c>
      <c r="AB319" s="4">
        <f>$K$319*$V$319</f>
        <v>0</v>
      </c>
      <c r="AC319" s="4">
        <f>$M$319*$W$319</f>
        <v>935.71663999999998</v>
      </c>
      <c r="AD319" s="4">
        <f>$O$319*$X$319</f>
        <v>740.62159999999994</v>
      </c>
      <c r="AE319" s="4">
        <f>$K$319*$Y$319</f>
        <v>0</v>
      </c>
      <c r="AF319" s="4">
        <f ca="1">$M$319*$Z$319</f>
        <v>1369.1541056724191</v>
      </c>
      <c r="AG319" s="4">
        <f>$O$319*$AA$319</f>
        <v>583.71896297700641</v>
      </c>
    </row>
    <row r="320" spans="1:33" ht="11.25" customHeight="1" x14ac:dyDescent="0.3">
      <c r="A320" s="3" t="s">
        <v>21</v>
      </c>
      <c r="B320" s="3" t="s">
        <v>33</v>
      </c>
      <c r="C320" s="3" t="s">
        <v>23</v>
      </c>
      <c r="D320" s="3" t="s">
        <v>50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44440</v>
      </c>
      <c r="J320" s="4">
        <v>0</v>
      </c>
      <c r="K320" s="4">
        <v>0</v>
      </c>
      <c r="L320" s="4">
        <v>0.58699999999999997</v>
      </c>
      <c r="M320" s="4">
        <v>0.58699999999999997</v>
      </c>
      <c r="N320" s="4">
        <v>0.58699999999999997</v>
      </c>
      <c r="O320" s="4">
        <v>0.58699999999999997</v>
      </c>
      <c r="P320" s="4">
        <v>2</v>
      </c>
      <c r="Q320" s="3" t="s">
        <v>26</v>
      </c>
      <c r="R320" s="3">
        <v>0</v>
      </c>
      <c r="S320" s="4">
        <v>0</v>
      </c>
      <c r="T320" s="4">
        <v>46</v>
      </c>
      <c r="U320" s="4">
        <v>84</v>
      </c>
      <c r="V320" s="4">
        <f>IF(ISERROR(VLOOKUP($S$320,'TAR FIN'!$A$1:$O$88,15,0)),0,VLOOKUP($S$320,'TAR FIN'!$A$1:$O$88,15,0))</f>
        <v>0</v>
      </c>
      <c r="W320" s="4">
        <f>IF(ISERROR(VLOOKUP($T$320,'TAR FIN'!$A$1:$O$88,15,0)),0,VLOOKUP($T$320,'TAR FIN'!$A$1:$O$88,15,0))</f>
        <v>306.19</v>
      </c>
      <c r="X320" s="4">
        <f>IF(ISERROR(VLOOKUP($U$320,'TAR FIN'!$A$1:$O$88,15,0)),0,VLOOKUP($U$320,'TAR FIN'!$A$1:$O$88,15,0))</f>
        <v>242.35</v>
      </c>
      <c r="Y320" s="4"/>
      <c r="Z320" s="4">
        <f ca="1">('TUSD BE'!$AM$48+'TUSD BF'!$AM$48+'TUSD CVA'!$AM$48)*1</f>
        <v>448.02163143730991</v>
      </c>
      <c r="AA320" s="4">
        <f>('TE BE'!$AB$38+'TE BF'!$AB$38+'TE CVA'!$AB$38)*1</f>
        <v>191.00751406315655</v>
      </c>
      <c r="AB320" s="4">
        <f>$K$320*$V$320</f>
        <v>0</v>
      </c>
      <c r="AC320" s="4">
        <f>$M$320*$W$320</f>
        <v>179.73353</v>
      </c>
      <c r="AD320" s="4">
        <f>$O$320*$X$320</f>
        <v>142.25944999999999</v>
      </c>
      <c r="AE320" s="4">
        <f>$K$320*$Y$320</f>
        <v>0</v>
      </c>
      <c r="AF320" s="4">
        <f ca="1">$M$320*$Z$320</f>
        <v>262.98869765370091</v>
      </c>
      <c r="AG320" s="4">
        <f>$O$320*$AA$320</f>
        <v>112.12141075507289</v>
      </c>
    </row>
    <row r="321" spans="1:33" ht="11.25" customHeight="1" x14ac:dyDescent="0.3">
      <c r="A321" s="3" t="s">
        <v>21</v>
      </c>
      <c r="B321" s="3" t="s">
        <v>33</v>
      </c>
      <c r="C321" s="3" t="s">
        <v>23</v>
      </c>
      <c r="D321" s="3" t="s">
        <v>50</v>
      </c>
      <c r="E321" s="3" t="s">
        <v>25</v>
      </c>
      <c r="F321" s="3" t="s">
        <v>25</v>
      </c>
      <c r="G321" s="3" t="s">
        <v>25</v>
      </c>
      <c r="H321" s="3" t="s">
        <v>25</v>
      </c>
      <c r="I321" s="6">
        <v>44470</v>
      </c>
      <c r="J321" s="4">
        <v>0</v>
      </c>
      <c r="K321" s="4">
        <v>0</v>
      </c>
      <c r="L321" s="4">
        <v>1.5369999999999999</v>
      </c>
      <c r="M321" s="4">
        <v>1.5369999999999999</v>
      </c>
      <c r="N321" s="4">
        <v>1.5369999999999999</v>
      </c>
      <c r="O321" s="4">
        <v>1.5369999999999999</v>
      </c>
      <c r="P321" s="4">
        <v>3</v>
      </c>
      <c r="Q321" s="3" t="s">
        <v>26</v>
      </c>
      <c r="R321" s="3">
        <v>0</v>
      </c>
      <c r="S321" s="4">
        <v>0</v>
      </c>
      <c r="T321" s="4">
        <v>46</v>
      </c>
      <c r="U321" s="4">
        <v>84</v>
      </c>
      <c r="V321" s="4">
        <f>IF(ISERROR(VLOOKUP($S$321,'TAR FIN'!$A$1:$O$88,15,0)),0,VLOOKUP($S$321,'TAR FIN'!$A$1:$O$88,15,0))</f>
        <v>0</v>
      </c>
      <c r="W321" s="4">
        <f>IF(ISERROR(VLOOKUP($T$321,'TAR FIN'!$A$1:$O$88,15,0)),0,VLOOKUP($T$321,'TAR FIN'!$A$1:$O$88,15,0))</f>
        <v>306.19</v>
      </c>
      <c r="X321" s="4">
        <f>IF(ISERROR(VLOOKUP($U$321,'TAR FIN'!$A$1:$O$88,15,0)),0,VLOOKUP($U$321,'TAR FIN'!$A$1:$O$88,15,0))</f>
        <v>242.35</v>
      </c>
      <c r="Y321" s="4"/>
      <c r="Z321" s="4">
        <f ca="1">('TUSD BE'!$AM$48+'TUSD BF'!$AM$48+'TUSD CVA'!$AM$48)*1</f>
        <v>448.02163143730991</v>
      </c>
      <c r="AA321" s="4">
        <f>('TE BE'!$AB$38+'TE BF'!$AB$38+'TE CVA'!$AB$38)*1</f>
        <v>191.00751406315655</v>
      </c>
      <c r="AB321" s="4">
        <f>$K$321*$V$321</f>
        <v>0</v>
      </c>
      <c r="AC321" s="4">
        <f>$M$321*$W$321</f>
        <v>470.61402999999996</v>
      </c>
      <c r="AD321" s="4">
        <f>$O$321*$X$321</f>
        <v>372.49194999999997</v>
      </c>
      <c r="AE321" s="4">
        <f>$K$321*$Y$321</f>
        <v>0</v>
      </c>
      <c r="AF321" s="4">
        <f ca="1">$M$321*$Z$321</f>
        <v>688.60924751914524</v>
      </c>
      <c r="AG321" s="4">
        <f>$O$321*$AA$321</f>
        <v>293.57854911507161</v>
      </c>
    </row>
    <row r="322" spans="1:33" ht="11.25" customHeight="1" x14ac:dyDescent="0.3">
      <c r="A322" s="3" t="s">
        <v>21</v>
      </c>
      <c r="B322" s="3" t="s">
        <v>33</v>
      </c>
      <c r="C322" s="3" t="s">
        <v>23</v>
      </c>
      <c r="D322" s="3" t="s">
        <v>50</v>
      </c>
      <c r="E322" s="3" t="s">
        <v>25</v>
      </c>
      <c r="F322" s="3" t="s">
        <v>25</v>
      </c>
      <c r="G322" s="3" t="s">
        <v>25</v>
      </c>
      <c r="H322" s="3" t="s">
        <v>25</v>
      </c>
      <c r="I322" s="6">
        <v>44501</v>
      </c>
      <c r="J322" s="4">
        <v>0</v>
      </c>
      <c r="K322" s="4">
        <v>0</v>
      </c>
      <c r="L322" s="4">
        <v>1.3919999999999999</v>
      </c>
      <c r="M322" s="4">
        <v>1.3919999999999999</v>
      </c>
      <c r="N322" s="4">
        <v>1.3919999999999999</v>
      </c>
      <c r="O322" s="4">
        <v>1.3919999999999999</v>
      </c>
      <c r="P322" s="4">
        <v>1</v>
      </c>
      <c r="Q322" s="3" t="s">
        <v>26</v>
      </c>
      <c r="R322" s="3">
        <v>0</v>
      </c>
      <c r="S322" s="4">
        <v>0</v>
      </c>
      <c r="T322" s="4">
        <v>46</v>
      </c>
      <c r="U322" s="4">
        <v>84</v>
      </c>
      <c r="V322" s="4">
        <f>IF(ISERROR(VLOOKUP($S$322,'TAR FIN'!$A$1:$O$88,15,0)),0,VLOOKUP($S$322,'TAR FIN'!$A$1:$O$88,15,0))</f>
        <v>0</v>
      </c>
      <c r="W322" s="4">
        <f>IF(ISERROR(VLOOKUP($T$322,'TAR FIN'!$A$1:$O$88,15,0)),0,VLOOKUP($T$322,'TAR FIN'!$A$1:$O$88,15,0))</f>
        <v>306.19</v>
      </c>
      <c r="X322" s="4">
        <f>IF(ISERROR(VLOOKUP($U$322,'TAR FIN'!$A$1:$O$88,15,0)),0,VLOOKUP($U$322,'TAR FIN'!$A$1:$O$88,15,0))</f>
        <v>242.35</v>
      </c>
      <c r="Y322" s="4"/>
      <c r="Z322" s="4">
        <f ca="1">('TUSD BE'!$AM$48+'TUSD BF'!$AM$48+'TUSD CVA'!$AM$48)*1</f>
        <v>448.02163143730991</v>
      </c>
      <c r="AA322" s="4">
        <f>('TE BE'!$AB$38+'TE BF'!$AB$38+'TE CVA'!$AB$38)*1</f>
        <v>191.00751406315655</v>
      </c>
      <c r="AB322" s="4">
        <f>$K$322*$V$322</f>
        <v>0</v>
      </c>
      <c r="AC322" s="4">
        <f>$M$322*$W$322</f>
        <v>426.21647999999999</v>
      </c>
      <c r="AD322" s="4">
        <f>$O$322*$X$322</f>
        <v>337.35119999999995</v>
      </c>
      <c r="AE322" s="4">
        <f>$K$322*$Y$322</f>
        <v>0</v>
      </c>
      <c r="AF322" s="4">
        <f ca="1">$M$322*$Z$322</f>
        <v>623.64611096073531</v>
      </c>
      <c r="AG322" s="4">
        <f>$O$322*$AA$322</f>
        <v>265.88245957591391</v>
      </c>
    </row>
    <row r="323" spans="1:33" ht="11.25" customHeight="1" x14ac:dyDescent="0.3">
      <c r="A323" s="3" t="s">
        <v>21</v>
      </c>
      <c r="B323" s="3" t="s">
        <v>33</v>
      </c>
      <c r="C323" s="3" t="s">
        <v>23</v>
      </c>
      <c r="D323" s="3" t="s">
        <v>50</v>
      </c>
      <c r="E323" s="3" t="s">
        <v>25</v>
      </c>
      <c r="F323" s="3" t="s">
        <v>25</v>
      </c>
      <c r="G323" s="3" t="s">
        <v>25</v>
      </c>
      <c r="H323" s="3" t="s">
        <v>25</v>
      </c>
      <c r="I323" s="6">
        <v>44531</v>
      </c>
      <c r="J323" s="4">
        <v>0</v>
      </c>
      <c r="K323" s="4">
        <v>0</v>
      </c>
      <c r="L323" s="4">
        <v>3.4969999999999999</v>
      </c>
      <c r="M323" s="4">
        <v>3.4969999999999999</v>
      </c>
      <c r="N323" s="4">
        <v>3.4969999999999999</v>
      </c>
      <c r="O323" s="4">
        <v>3.4969999999999999</v>
      </c>
      <c r="P323" s="4">
        <v>1</v>
      </c>
      <c r="Q323" s="3" t="s">
        <v>26</v>
      </c>
      <c r="R323" s="3">
        <v>0</v>
      </c>
      <c r="S323" s="4">
        <v>0</v>
      </c>
      <c r="T323" s="4">
        <v>46</v>
      </c>
      <c r="U323" s="4">
        <v>84</v>
      </c>
      <c r="V323" s="4">
        <f>IF(ISERROR(VLOOKUP($S$323,'TAR FIN'!$A$1:$O$88,15,0)),0,VLOOKUP($S$323,'TAR FIN'!$A$1:$O$88,15,0))</f>
        <v>0</v>
      </c>
      <c r="W323" s="4">
        <f>IF(ISERROR(VLOOKUP($T$323,'TAR FIN'!$A$1:$O$88,15,0)),0,VLOOKUP($T$323,'TAR FIN'!$A$1:$O$88,15,0))</f>
        <v>306.19</v>
      </c>
      <c r="X323" s="4">
        <f>IF(ISERROR(VLOOKUP($U$323,'TAR FIN'!$A$1:$O$88,15,0)),0,VLOOKUP($U$323,'TAR FIN'!$A$1:$O$88,15,0))</f>
        <v>242.35</v>
      </c>
      <c r="Y323" s="4"/>
      <c r="Z323" s="4">
        <f ca="1">('TUSD BE'!$AM$48+'TUSD BF'!$AM$48+'TUSD CVA'!$AM$48)*1</f>
        <v>448.02163143730991</v>
      </c>
      <c r="AA323" s="4">
        <f>('TE BE'!$AB$38+'TE BF'!$AB$38+'TE CVA'!$AB$38)*1</f>
        <v>191.00751406315655</v>
      </c>
      <c r="AB323" s="4">
        <f>$K$323*$V$323</f>
        <v>0</v>
      </c>
      <c r="AC323" s="4">
        <f>$M$323*$W$323</f>
        <v>1070.7464299999999</v>
      </c>
      <c r="AD323" s="4">
        <f>$O$323*$X$323</f>
        <v>847.49794999999995</v>
      </c>
      <c r="AE323" s="4">
        <f>$K$323*$Y$323</f>
        <v>0</v>
      </c>
      <c r="AF323" s="4">
        <f ca="1">$M$323*$Z$323</f>
        <v>1566.7316451362726</v>
      </c>
      <c r="AG323" s="4">
        <f>$O$323*$AA$323</f>
        <v>667.9532766788584</v>
      </c>
    </row>
    <row r="324" spans="1:33" ht="11.25" customHeight="1" x14ac:dyDescent="0.3">
      <c r="A324" s="3" t="s">
        <v>21</v>
      </c>
      <c r="B324" s="3" t="s">
        <v>33</v>
      </c>
      <c r="C324" s="3" t="s">
        <v>23</v>
      </c>
      <c r="D324" s="3" t="s">
        <v>50</v>
      </c>
      <c r="E324" s="3" t="s">
        <v>25</v>
      </c>
      <c r="F324" s="3" t="s">
        <v>25</v>
      </c>
      <c r="G324" s="3" t="s">
        <v>25</v>
      </c>
      <c r="H324" s="3" t="s">
        <v>25</v>
      </c>
      <c r="I324" s="6">
        <v>44562</v>
      </c>
      <c r="J324" s="4">
        <v>0</v>
      </c>
      <c r="K324" s="4">
        <v>0</v>
      </c>
      <c r="L324" s="4">
        <v>2.82</v>
      </c>
      <c r="M324" s="4">
        <v>2.82</v>
      </c>
      <c r="N324" s="4">
        <v>2.82</v>
      </c>
      <c r="O324" s="4">
        <v>2.82</v>
      </c>
      <c r="P324" s="4">
        <v>1</v>
      </c>
      <c r="Q324" s="3" t="s">
        <v>26</v>
      </c>
      <c r="R324" s="3">
        <v>0</v>
      </c>
      <c r="S324" s="4">
        <v>0</v>
      </c>
      <c r="T324" s="4">
        <v>46</v>
      </c>
      <c r="U324" s="4">
        <v>84</v>
      </c>
      <c r="V324" s="4">
        <f>IF(ISERROR(VLOOKUP($S$324,'TAR FIN'!$A$1:$O$88,15,0)),0,VLOOKUP($S$324,'TAR FIN'!$A$1:$O$88,15,0))</f>
        <v>0</v>
      </c>
      <c r="W324" s="4">
        <f>IF(ISERROR(VLOOKUP($T$324,'TAR FIN'!$A$1:$O$88,15,0)),0,VLOOKUP($T$324,'TAR FIN'!$A$1:$O$88,15,0))</f>
        <v>306.19</v>
      </c>
      <c r="X324" s="4">
        <f>IF(ISERROR(VLOOKUP($U$324,'TAR FIN'!$A$1:$O$88,15,0)),0,VLOOKUP($U$324,'TAR FIN'!$A$1:$O$88,15,0))</f>
        <v>242.35</v>
      </c>
      <c r="Y324" s="4"/>
      <c r="Z324" s="4">
        <f ca="1">('TUSD BE'!$AM$48+'TUSD BF'!$AM$48+'TUSD CVA'!$AM$48)*1</f>
        <v>448.02163143730991</v>
      </c>
      <c r="AA324" s="4">
        <f>('TE BE'!$AB$38+'TE BF'!$AB$38+'TE CVA'!$AB$38)*1</f>
        <v>191.00751406315655</v>
      </c>
      <c r="AB324" s="4">
        <f>$K$324*$V$324</f>
        <v>0</v>
      </c>
      <c r="AC324" s="4">
        <f>$M$324*$W$324</f>
        <v>863.45579999999995</v>
      </c>
      <c r="AD324" s="4">
        <f>$O$324*$X$324</f>
        <v>683.42699999999991</v>
      </c>
      <c r="AE324" s="4">
        <f>$K$324*$Y$324</f>
        <v>0</v>
      </c>
      <c r="AF324" s="4">
        <f ca="1">$M$324*$Z$324</f>
        <v>1263.4210006532139</v>
      </c>
      <c r="AG324" s="4">
        <f>$O$324*$AA$324</f>
        <v>538.64118965810144</v>
      </c>
    </row>
    <row r="325" spans="1:33" ht="11.25" customHeight="1" x14ac:dyDescent="0.3">
      <c r="A325" s="3" t="s">
        <v>21</v>
      </c>
      <c r="B325" s="3" t="s">
        <v>33</v>
      </c>
      <c r="C325" s="3" t="s">
        <v>23</v>
      </c>
      <c r="D325" s="3" t="s">
        <v>50</v>
      </c>
      <c r="E325" s="3" t="s">
        <v>25</v>
      </c>
      <c r="F325" s="3" t="s">
        <v>25</v>
      </c>
      <c r="G325" s="3" t="s">
        <v>25</v>
      </c>
      <c r="H325" s="3" t="s">
        <v>25</v>
      </c>
      <c r="I325" s="6">
        <v>44593</v>
      </c>
      <c r="J325" s="4">
        <v>0</v>
      </c>
      <c r="K325" s="4">
        <v>0</v>
      </c>
      <c r="L325" s="4">
        <v>3.88</v>
      </c>
      <c r="M325" s="4">
        <v>3.88</v>
      </c>
      <c r="N325" s="4">
        <v>3.88</v>
      </c>
      <c r="O325" s="4">
        <v>3.88</v>
      </c>
      <c r="P325" s="4">
        <v>1</v>
      </c>
      <c r="Q325" s="3" t="s">
        <v>26</v>
      </c>
      <c r="R325" s="3">
        <v>0</v>
      </c>
      <c r="S325" s="4">
        <v>0</v>
      </c>
      <c r="T325" s="4">
        <v>46</v>
      </c>
      <c r="U325" s="4">
        <v>84</v>
      </c>
      <c r="V325" s="4">
        <f>IF(ISERROR(VLOOKUP($S$325,'TAR FIN'!$A$1:$O$88,15,0)),0,VLOOKUP($S$325,'TAR FIN'!$A$1:$O$88,15,0))</f>
        <v>0</v>
      </c>
      <c r="W325" s="4">
        <f>IF(ISERROR(VLOOKUP($T$325,'TAR FIN'!$A$1:$O$88,15,0)),0,VLOOKUP($T$325,'TAR FIN'!$A$1:$O$88,15,0))</f>
        <v>306.19</v>
      </c>
      <c r="X325" s="4">
        <f>IF(ISERROR(VLOOKUP($U$325,'TAR FIN'!$A$1:$O$88,15,0)),0,VLOOKUP($U$325,'TAR FIN'!$A$1:$O$88,15,0))</f>
        <v>242.35</v>
      </c>
      <c r="Y325" s="4"/>
      <c r="Z325" s="4">
        <f ca="1">('TUSD BE'!$AM$48+'TUSD BF'!$AM$48+'TUSD CVA'!$AM$48)*1</f>
        <v>448.02163143730991</v>
      </c>
      <c r="AA325" s="4">
        <f>('TE BE'!$AB$38+'TE BF'!$AB$38+'TE CVA'!$AB$38)*1</f>
        <v>191.00751406315655</v>
      </c>
      <c r="AB325" s="4">
        <f>$K$325*$V$325</f>
        <v>0</v>
      </c>
      <c r="AC325" s="4">
        <f>$M$325*$W$325</f>
        <v>1188.0172</v>
      </c>
      <c r="AD325" s="4">
        <f>$O$325*$X$325</f>
        <v>940.31799999999998</v>
      </c>
      <c r="AE325" s="4">
        <f>$K$325*$Y$325</f>
        <v>0</v>
      </c>
      <c r="AF325" s="4">
        <f ca="1">$M$325*$Z$325</f>
        <v>1738.3239299767624</v>
      </c>
      <c r="AG325" s="4">
        <f>$O$325*$AA$325</f>
        <v>741.10915456504733</v>
      </c>
    </row>
    <row r="326" spans="1:33" ht="11.25" customHeight="1" x14ac:dyDescent="0.3">
      <c r="A326" s="3" t="s">
        <v>21</v>
      </c>
      <c r="B326" s="3" t="s">
        <v>33</v>
      </c>
      <c r="C326" s="3" t="s">
        <v>23</v>
      </c>
      <c r="D326" s="3" t="s">
        <v>50</v>
      </c>
      <c r="E326" s="3" t="s">
        <v>25</v>
      </c>
      <c r="F326" s="3" t="s">
        <v>25</v>
      </c>
      <c r="G326" s="3" t="s">
        <v>25</v>
      </c>
      <c r="H326" s="3" t="s">
        <v>25</v>
      </c>
      <c r="I326" s="6">
        <v>44621</v>
      </c>
      <c r="J326" s="4">
        <v>0</v>
      </c>
      <c r="K326" s="4">
        <v>0</v>
      </c>
      <c r="L326" s="4">
        <v>2.657</v>
      </c>
      <c r="M326" s="4">
        <v>2.657</v>
      </c>
      <c r="N326" s="4">
        <v>2.657</v>
      </c>
      <c r="O326" s="4">
        <v>2.657</v>
      </c>
      <c r="P326" s="4">
        <v>1</v>
      </c>
      <c r="Q326" s="3" t="s">
        <v>26</v>
      </c>
      <c r="R326" s="3">
        <v>0</v>
      </c>
      <c r="S326" s="4">
        <v>0</v>
      </c>
      <c r="T326" s="4">
        <v>46</v>
      </c>
      <c r="U326" s="4">
        <v>84</v>
      </c>
      <c r="V326" s="4">
        <f>IF(ISERROR(VLOOKUP($S$326,'TAR FIN'!$A$1:$O$88,15,0)),0,VLOOKUP($S$326,'TAR FIN'!$A$1:$O$88,15,0))</f>
        <v>0</v>
      </c>
      <c r="W326" s="4">
        <f>IF(ISERROR(VLOOKUP($T$326,'TAR FIN'!$A$1:$O$88,15,0)),0,VLOOKUP($T$326,'TAR FIN'!$A$1:$O$88,15,0))</f>
        <v>306.19</v>
      </c>
      <c r="X326" s="4">
        <f>IF(ISERROR(VLOOKUP($U$326,'TAR FIN'!$A$1:$O$88,15,0)),0,VLOOKUP($U$326,'TAR FIN'!$A$1:$O$88,15,0))</f>
        <v>242.35</v>
      </c>
      <c r="Y326" s="4"/>
      <c r="Z326" s="4">
        <f ca="1">('TUSD BE'!$AM$48+'TUSD BF'!$AM$48+'TUSD CVA'!$AM$48)*1</f>
        <v>448.02163143730991</v>
      </c>
      <c r="AA326" s="4">
        <f>('TE BE'!$AB$38+'TE BF'!$AB$38+'TE CVA'!$AB$38)*1</f>
        <v>191.00751406315655</v>
      </c>
      <c r="AB326" s="4">
        <f>$K$326*$V$326</f>
        <v>0</v>
      </c>
      <c r="AC326" s="4">
        <f>$M$326*$W$326</f>
        <v>813.54683</v>
      </c>
      <c r="AD326" s="4">
        <f>$O$326*$X$326</f>
        <v>643.92394999999999</v>
      </c>
      <c r="AE326" s="4">
        <f>$K$326*$Y$326</f>
        <v>0</v>
      </c>
      <c r="AF326" s="4">
        <f ca="1">$M$326*$Z$326</f>
        <v>1190.3934747289325</v>
      </c>
      <c r="AG326" s="4">
        <f>$O$326*$AA$326</f>
        <v>507.50696486580694</v>
      </c>
    </row>
    <row r="327" spans="1:33" ht="11.25" customHeight="1" x14ac:dyDescent="0.3">
      <c r="A327" s="3" t="s">
        <v>21</v>
      </c>
      <c r="B327" s="3" t="s">
        <v>33</v>
      </c>
      <c r="C327" s="3" t="s">
        <v>23</v>
      </c>
      <c r="D327" s="3" t="s">
        <v>50</v>
      </c>
      <c r="E327" s="3" t="s">
        <v>25</v>
      </c>
      <c r="F327" s="3" t="s">
        <v>25</v>
      </c>
      <c r="G327" s="3" t="s">
        <v>25</v>
      </c>
      <c r="H327" s="3" t="s">
        <v>25</v>
      </c>
      <c r="I327" s="6">
        <v>44652</v>
      </c>
      <c r="J327" s="4">
        <v>0</v>
      </c>
      <c r="K327" s="4">
        <v>0</v>
      </c>
      <c r="L327" s="4">
        <v>2.4729999999999999</v>
      </c>
      <c r="M327" s="4">
        <v>2.4729999999999999</v>
      </c>
      <c r="N327" s="4">
        <v>2.4729999999999999</v>
      </c>
      <c r="O327" s="4">
        <v>2.4729999999999999</v>
      </c>
      <c r="P327" s="4">
        <v>1</v>
      </c>
      <c r="Q327" s="3" t="s">
        <v>26</v>
      </c>
      <c r="R327" s="3">
        <v>0</v>
      </c>
      <c r="S327" s="4">
        <v>0</v>
      </c>
      <c r="T327" s="4">
        <v>46</v>
      </c>
      <c r="U327" s="4">
        <v>84</v>
      </c>
      <c r="V327" s="4">
        <f>IF(ISERROR(VLOOKUP($S$327,'TAR FIN'!$A$1:$O$88,15,0)),0,VLOOKUP($S$327,'TAR FIN'!$A$1:$O$88,15,0))</f>
        <v>0</v>
      </c>
      <c r="W327" s="4">
        <f>IF(ISERROR(VLOOKUP($T$327,'TAR FIN'!$A$1:$O$88,15,0)),0,VLOOKUP($T$327,'TAR FIN'!$A$1:$O$88,15,0))</f>
        <v>306.19</v>
      </c>
      <c r="X327" s="4">
        <f>IF(ISERROR(VLOOKUP($U$327,'TAR FIN'!$A$1:$O$88,15,0)),0,VLOOKUP($U$327,'TAR FIN'!$A$1:$O$88,15,0))</f>
        <v>242.35</v>
      </c>
      <c r="Y327" s="4"/>
      <c r="Z327" s="4">
        <f ca="1">('TUSD BE'!$AM$48+'TUSD BF'!$AM$48+'TUSD CVA'!$AM$48)*1</f>
        <v>448.02163143730991</v>
      </c>
      <c r="AA327" s="4">
        <f>('TE BE'!$AB$38+'TE BF'!$AB$38+'TE CVA'!$AB$38)*1</f>
        <v>191.00751406315655</v>
      </c>
      <c r="AB327" s="4">
        <f>$K$327*$V$327</f>
        <v>0</v>
      </c>
      <c r="AC327" s="4">
        <f>$M$327*$W$327</f>
        <v>757.20786999999996</v>
      </c>
      <c r="AD327" s="4">
        <f>$O$327*$X$327</f>
        <v>599.33154999999999</v>
      </c>
      <c r="AE327" s="4">
        <f>$K$327*$Y$327</f>
        <v>0</v>
      </c>
      <c r="AF327" s="4">
        <f ca="1">$M$327*$Z$327</f>
        <v>1107.9574945444674</v>
      </c>
      <c r="AG327" s="4">
        <f>$O$327*$AA$327</f>
        <v>472.36158227818612</v>
      </c>
    </row>
    <row r="328" spans="1:33" ht="11.25" customHeight="1" x14ac:dyDescent="0.3">
      <c r="A328" s="3" t="s">
        <v>21</v>
      </c>
      <c r="B328" s="3" t="s">
        <v>33</v>
      </c>
      <c r="C328" s="3" t="s">
        <v>23</v>
      </c>
      <c r="D328" s="3" t="s">
        <v>50</v>
      </c>
      <c r="E328" s="3" t="s">
        <v>25</v>
      </c>
      <c r="F328" s="3" t="s">
        <v>25</v>
      </c>
      <c r="G328" s="3" t="s">
        <v>25</v>
      </c>
      <c r="H328" s="3" t="s">
        <v>25</v>
      </c>
      <c r="I328" s="6">
        <v>44682</v>
      </c>
      <c r="J328" s="4">
        <v>0</v>
      </c>
      <c r="K328" s="4">
        <v>0</v>
      </c>
      <c r="L328" s="4">
        <v>2.0070000000000001</v>
      </c>
      <c r="M328" s="4">
        <v>2.0070000000000001</v>
      </c>
      <c r="N328" s="4">
        <v>2.0070000000000001</v>
      </c>
      <c r="O328" s="4">
        <v>2.0070000000000001</v>
      </c>
      <c r="P328" s="4">
        <v>1</v>
      </c>
      <c r="Q328" s="3" t="s">
        <v>26</v>
      </c>
      <c r="R328" s="3">
        <v>0</v>
      </c>
      <c r="S328" s="4">
        <v>0</v>
      </c>
      <c r="T328" s="4">
        <v>46</v>
      </c>
      <c r="U328" s="4">
        <v>84</v>
      </c>
      <c r="V328" s="4">
        <f>IF(ISERROR(VLOOKUP($S$328,'TAR FIN'!$A$1:$O$88,15,0)),0,VLOOKUP($S$328,'TAR FIN'!$A$1:$O$88,15,0))</f>
        <v>0</v>
      </c>
      <c r="W328" s="4">
        <f>IF(ISERROR(VLOOKUP($T$328,'TAR FIN'!$A$1:$O$88,15,0)),0,VLOOKUP($T$328,'TAR FIN'!$A$1:$O$88,15,0))</f>
        <v>306.19</v>
      </c>
      <c r="X328" s="4">
        <f>IF(ISERROR(VLOOKUP($U$328,'TAR FIN'!$A$1:$O$88,15,0)),0,VLOOKUP($U$328,'TAR FIN'!$A$1:$O$88,15,0))</f>
        <v>242.35</v>
      </c>
      <c r="Y328" s="4"/>
      <c r="Z328" s="4">
        <f ca="1">('TUSD BE'!$AM$48+'TUSD BF'!$AM$48+'TUSD CVA'!$AM$48)*1</f>
        <v>448.02163143730991</v>
      </c>
      <c r="AA328" s="4">
        <f>('TE BE'!$AB$38+'TE BF'!$AB$38+'TE CVA'!$AB$38)*1</f>
        <v>191.00751406315655</v>
      </c>
      <c r="AB328" s="4">
        <f>$K$328*$V$328</f>
        <v>0</v>
      </c>
      <c r="AC328" s="4">
        <f>$M$328*$W$328</f>
        <v>614.52332999999999</v>
      </c>
      <c r="AD328" s="4">
        <f>$O$328*$X$328</f>
        <v>486.39645000000002</v>
      </c>
      <c r="AE328" s="4">
        <f>$K$328*$Y$328</f>
        <v>0</v>
      </c>
      <c r="AF328" s="4">
        <f ca="1">$M$328*$Z$328</f>
        <v>899.17941429468101</v>
      </c>
      <c r="AG328" s="4">
        <f>$O$328*$AA$328</f>
        <v>383.35208072475524</v>
      </c>
    </row>
    <row r="329" spans="1:33" ht="11.25" customHeight="1" x14ac:dyDescent="0.3">
      <c r="A329" s="3" t="s">
        <v>21</v>
      </c>
      <c r="B329" s="3" t="s">
        <v>33</v>
      </c>
      <c r="C329" s="3" t="s">
        <v>23</v>
      </c>
      <c r="D329" s="3" t="s">
        <v>50</v>
      </c>
      <c r="E329" s="3" t="s">
        <v>25</v>
      </c>
      <c r="F329" s="3" t="s">
        <v>25</v>
      </c>
      <c r="G329" s="3" t="s">
        <v>25</v>
      </c>
      <c r="H329" s="3" t="s">
        <v>25</v>
      </c>
      <c r="I329" s="6">
        <v>44713</v>
      </c>
      <c r="J329" s="4">
        <v>0</v>
      </c>
      <c r="K329" s="4">
        <v>0</v>
      </c>
      <c r="L329" s="4">
        <v>2.0249999999999999</v>
      </c>
      <c r="M329" s="4">
        <v>2.0249999999999999</v>
      </c>
      <c r="N329" s="4">
        <v>2.0249999999999999</v>
      </c>
      <c r="O329" s="4">
        <v>2.0249999999999999</v>
      </c>
      <c r="P329" s="4">
        <v>1</v>
      </c>
      <c r="Q329" s="3" t="s">
        <v>26</v>
      </c>
      <c r="R329" s="3">
        <v>0</v>
      </c>
      <c r="S329" s="4">
        <v>0</v>
      </c>
      <c r="T329" s="4">
        <v>46</v>
      </c>
      <c r="U329" s="4">
        <v>84</v>
      </c>
      <c r="V329" s="4">
        <f>IF(ISERROR(VLOOKUP($S$329,'TAR FIN'!$A$1:$O$88,15,0)),0,VLOOKUP($S$329,'TAR FIN'!$A$1:$O$88,15,0))</f>
        <v>0</v>
      </c>
      <c r="W329" s="4">
        <f>IF(ISERROR(VLOOKUP($T$329,'TAR FIN'!$A$1:$O$88,15,0)),0,VLOOKUP($T$329,'TAR FIN'!$A$1:$O$88,15,0))</f>
        <v>306.19</v>
      </c>
      <c r="X329" s="4">
        <f>IF(ISERROR(VLOOKUP($U$329,'TAR FIN'!$A$1:$O$88,15,0)),0,VLOOKUP($U$329,'TAR FIN'!$A$1:$O$88,15,0))</f>
        <v>242.35</v>
      </c>
      <c r="Y329" s="4"/>
      <c r="Z329" s="4">
        <f ca="1">('TUSD BE'!$AM$48+'TUSD BF'!$AM$48+'TUSD CVA'!$AM$48)*1</f>
        <v>448.02163143730991</v>
      </c>
      <c r="AA329" s="4">
        <f>('TE BE'!$AB$38+'TE BF'!$AB$38+'TE CVA'!$AB$38)*1</f>
        <v>191.00751406315655</v>
      </c>
      <c r="AB329" s="4">
        <f>$K$329*$V$329</f>
        <v>0</v>
      </c>
      <c r="AC329" s="4">
        <f>$M$329*$W$329</f>
        <v>620.03474999999992</v>
      </c>
      <c r="AD329" s="4">
        <f>$O$329*$X$329</f>
        <v>490.75874999999996</v>
      </c>
      <c r="AE329" s="4">
        <f>$K$329*$Y$329</f>
        <v>0</v>
      </c>
      <c r="AF329" s="4">
        <f ca="1">$M$329*$Z$329</f>
        <v>907.24380366055254</v>
      </c>
      <c r="AG329" s="4">
        <f>$O$329*$AA$329</f>
        <v>386.79021597789199</v>
      </c>
    </row>
    <row r="330" spans="1:33" ht="11.25" customHeight="1" x14ac:dyDescent="0.3">
      <c r="A330" s="3" t="s">
        <v>21</v>
      </c>
      <c r="B330" s="3" t="s">
        <v>33</v>
      </c>
      <c r="C330" s="3" t="s">
        <v>23</v>
      </c>
      <c r="D330" s="3" t="s">
        <v>50</v>
      </c>
      <c r="E330" s="3" t="s">
        <v>25</v>
      </c>
      <c r="F330" s="3" t="s">
        <v>25</v>
      </c>
      <c r="G330" s="3" t="s">
        <v>25</v>
      </c>
      <c r="H330" s="3" t="s">
        <v>25</v>
      </c>
      <c r="I330" s="6">
        <v>44743</v>
      </c>
      <c r="J330" s="4">
        <v>0</v>
      </c>
      <c r="K330" s="4">
        <v>0</v>
      </c>
      <c r="L330" s="4">
        <v>1.8839999999999999</v>
      </c>
      <c r="M330" s="4">
        <v>1.8839999999999999</v>
      </c>
      <c r="N330" s="4">
        <v>1.8839999999999999</v>
      </c>
      <c r="O330" s="4">
        <v>1.8839999999999999</v>
      </c>
      <c r="P330" s="4">
        <v>1</v>
      </c>
      <c r="Q330" s="3" t="s">
        <v>26</v>
      </c>
      <c r="R330" s="3">
        <v>0</v>
      </c>
      <c r="S330" s="4">
        <v>0</v>
      </c>
      <c r="T330" s="4">
        <v>46</v>
      </c>
      <c r="U330" s="4">
        <v>84</v>
      </c>
      <c r="V330" s="4">
        <f>IF(ISERROR(VLOOKUP($S$330,'TAR FIN'!$A$1:$O$88,15,0)),0,VLOOKUP($S$330,'TAR FIN'!$A$1:$O$88,15,0))</f>
        <v>0</v>
      </c>
      <c r="W330" s="4">
        <f>IF(ISERROR(VLOOKUP($T$330,'TAR FIN'!$A$1:$O$88,15,0)),0,VLOOKUP($T$330,'TAR FIN'!$A$1:$O$88,15,0))</f>
        <v>306.19</v>
      </c>
      <c r="X330" s="4">
        <f>IF(ISERROR(VLOOKUP($U$330,'TAR FIN'!$A$1:$O$88,15,0)),0,VLOOKUP($U$330,'TAR FIN'!$A$1:$O$88,15,0))</f>
        <v>242.35</v>
      </c>
      <c r="Y330" s="4"/>
      <c r="Z330" s="4">
        <f ca="1">('TUSD BE'!$AM$48+'TUSD BF'!$AM$48+'TUSD CVA'!$AM$48)*1</f>
        <v>448.02163143730991</v>
      </c>
      <c r="AA330" s="4">
        <f>('TE BE'!$AB$38+'TE BF'!$AB$38+'TE CVA'!$AB$38)*1</f>
        <v>191.00751406315655</v>
      </c>
      <c r="AB330" s="4">
        <f>$K$330*$V$330</f>
        <v>0</v>
      </c>
      <c r="AC330" s="4">
        <f>$M$330*$W$330</f>
        <v>576.86195999999995</v>
      </c>
      <c r="AD330" s="4">
        <f>$O$330*$X$330</f>
        <v>456.58739999999995</v>
      </c>
      <c r="AE330" s="4">
        <f>$K$330*$Y$330</f>
        <v>0</v>
      </c>
      <c r="AF330" s="4">
        <f ca="1">$M$330*$Z$330</f>
        <v>844.07275362789187</v>
      </c>
      <c r="AG330" s="4">
        <f>$O$330*$AA$330</f>
        <v>359.85815649498693</v>
      </c>
    </row>
    <row r="331" spans="1:33" ht="11.25" customHeight="1" x14ac:dyDescent="0.3">
      <c r="A331" s="3" t="s">
        <v>55</v>
      </c>
      <c r="B331" s="3" t="s">
        <v>33</v>
      </c>
      <c r="C331" s="3" t="s">
        <v>23</v>
      </c>
      <c r="D331" s="3" t="s">
        <v>50</v>
      </c>
      <c r="E331" s="3" t="s">
        <v>25</v>
      </c>
      <c r="F331" s="3" t="s">
        <v>25</v>
      </c>
      <c r="G331" s="3" t="s">
        <v>25</v>
      </c>
      <c r="H331" s="3" t="s">
        <v>25</v>
      </c>
      <c r="I331" s="6">
        <v>44774</v>
      </c>
      <c r="J331" s="4">
        <v>0</v>
      </c>
      <c r="K331" s="4">
        <v>0</v>
      </c>
      <c r="L331" s="4">
        <v>1.8839999999999999</v>
      </c>
      <c r="M331" s="4">
        <v>1.8839999999999999</v>
      </c>
      <c r="N331" s="4">
        <v>1.8839999999999999</v>
      </c>
      <c r="O331" s="4">
        <v>1.8839999999999999</v>
      </c>
      <c r="P331" s="4">
        <v>1</v>
      </c>
      <c r="Q331" s="3" t="s">
        <v>26</v>
      </c>
      <c r="R331" s="3">
        <v>0</v>
      </c>
      <c r="S331" s="4">
        <v>0</v>
      </c>
      <c r="T331" s="4">
        <v>46</v>
      </c>
      <c r="U331" s="4">
        <v>84</v>
      </c>
      <c r="V331" s="4">
        <f>IF(ISERROR(VLOOKUP($S$331,'TAR FIN'!$A$1:$O$88,15,0)),0,VLOOKUP($S$331,'TAR FIN'!$A$1:$O$88,15,0))</f>
        <v>0</v>
      </c>
      <c r="W331" s="4">
        <f>IF(ISERROR(VLOOKUP($T$331,'TAR FIN'!$A$1:$O$88,15,0)),0,VLOOKUP($T$331,'TAR FIN'!$A$1:$O$88,15,0))</f>
        <v>306.19</v>
      </c>
      <c r="X331" s="4">
        <f>IF(ISERROR(VLOOKUP($U$331,'TAR FIN'!$A$1:$O$88,15,0)),0,VLOOKUP($U$331,'TAR FIN'!$A$1:$O$88,15,0))</f>
        <v>242.35</v>
      </c>
      <c r="Y331" s="4"/>
      <c r="Z331" s="4">
        <f ca="1">('TUSD BE'!$AM$48+'TUSD BF'!$AM$48+'TUSD CVA'!$AM$48)*1</f>
        <v>448.02163143730991</v>
      </c>
      <c r="AA331" s="4">
        <f>('TE BE'!$AB$38+'TE BF'!$AB$38+'TE CVA'!$AB$38)*1</f>
        <v>191.00751406315655</v>
      </c>
      <c r="AB331" s="4">
        <f>$K$331*$V$331</f>
        <v>0</v>
      </c>
      <c r="AC331" s="4">
        <f>$M$331*$W$331</f>
        <v>576.86195999999995</v>
      </c>
      <c r="AD331" s="4">
        <f>$O$331*$X$331</f>
        <v>456.58739999999995</v>
      </c>
      <c r="AE331" s="4">
        <f>$K$331*$Y$331</f>
        <v>0</v>
      </c>
      <c r="AF331" s="4">
        <f ca="1">$M$331*$Z$331</f>
        <v>844.07275362789187</v>
      </c>
      <c r="AG331" s="4">
        <f>$O$331*$AA$331</f>
        <v>359.85815649498693</v>
      </c>
    </row>
    <row r="332" spans="1:33" ht="11.25" customHeight="1" x14ac:dyDescent="0.3">
      <c r="A332" s="3" t="s">
        <v>21</v>
      </c>
      <c r="B332" s="3" t="s">
        <v>33</v>
      </c>
      <c r="C332" s="3" t="s">
        <v>23</v>
      </c>
      <c r="D332" s="3" t="s">
        <v>34</v>
      </c>
      <c r="E332" s="3" t="s">
        <v>25</v>
      </c>
      <c r="F332" s="3" t="s">
        <v>25</v>
      </c>
      <c r="G332" s="3" t="s">
        <v>25</v>
      </c>
      <c r="H332" s="3" t="s">
        <v>25</v>
      </c>
      <c r="I332" s="6">
        <v>44440</v>
      </c>
      <c r="J332" s="4">
        <v>0</v>
      </c>
      <c r="K332" s="4">
        <v>0</v>
      </c>
      <c r="L332" s="4">
        <v>19.715</v>
      </c>
      <c r="M332" s="4">
        <v>19.715</v>
      </c>
      <c r="N332" s="4">
        <v>19.715</v>
      </c>
      <c r="O332" s="4">
        <v>19.715</v>
      </c>
      <c r="P332" s="4">
        <v>40</v>
      </c>
      <c r="Q332" s="3" t="s">
        <v>26</v>
      </c>
      <c r="R332" s="3">
        <v>0</v>
      </c>
      <c r="S332" s="4">
        <v>0</v>
      </c>
      <c r="T332" s="4">
        <v>46</v>
      </c>
      <c r="U332" s="4">
        <v>84</v>
      </c>
      <c r="V332" s="4">
        <f>IF(ISERROR(VLOOKUP($S$332,'TAR FIN'!$A$1:$O$88,15,0)),0,VLOOKUP($S$332,'TAR FIN'!$A$1:$O$88,15,0))</f>
        <v>0</v>
      </c>
      <c r="W332" s="4">
        <f>IF(ISERROR(VLOOKUP($T$332,'TAR FIN'!$A$1:$O$88,15,0)),0,VLOOKUP($T$332,'TAR FIN'!$A$1:$O$88,15,0))</f>
        <v>306.19</v>
      </c>
      <c r="X332" s="4">
        <f>IF(ISERROR(VLOOKUP($U$332,'TAR FIN'!$A$1:$O$88,15,0)),0,VLOOKUP($U$332,'TAR FIN'!$A$1:$O$88,15,0))</f>
        <v>242.35</v>
      </c>
      <c r="Y332" s="4"/>
      <c r="Z332" s="4">
        <f ca="1">('TUSD BE'!$AM$48+'TUSD BF'!$AM$48+'TUSD CVA'!$AM$48)*1</f>
        <v>448.02163143730991</v>
      </c>
      <c r="AA332" s="4">
        <f>('TE BE'!$AB$38+'TE BF'!$AB$38+'TE CVA'!$AB$38)*1</f>
        <v>191.00751406315655</v>
      </c>
      <c r="AB332" s="4">
        <f>$K$332*$V$332</f>
        <v>0</v>
      </c>
      <c r="AC332" s="4">
        <f>$M$332*$W$332</f>
        <v>6036.5358500000002</v>
      </c>
      <c r="AD332" s="4">
        <f>$O$332*$X$332</f>
        <v>4777.9302499999994</v>
      </c>
      <c r="AE332" s="4">
        <f>$K$332*$Y$332</f>
        <v>0</v>
      </c>
      <c r="AF332" s="4">
        <f ca="1">$M$332*$Z$332</f>
        <v>8832.7464637865651</v>
      </c>
      <c r="AG332" s="4">
        <f>$O$332*$AA$332</f>
        <v>3765.7131397551311</v>
      </c>
    </row>
    <row r="333" spans="1:33" ht="11.25" customHeight="1" x14ac:dyDescent="0.3">
      <c r="A333" s="3" t="s">
        <v>28</v>
      </c>
      <c r="B333" s="3" t="s">
        <v>33</v>
      </c>
      <c r="C333" s="3" t="s">
        <v>23</v>
      </c>
      <c r="D333" s="3" t="s">
        <v>34</v>
      </c>
      <c r="E333" s="3" t="s">
        <v>25</v>
      </c>
      <c r="F333" s="3" t="s">
        <v>25</v>
      </c>
      <c r="G333" s="3" t="s">
        <v>25</v>
      </c>
      <c r="H333" s="3" t="s">
        <v>25</v>
      </c>
      <c r="I333" s="6">
        <v>44440</v>
      </c>
      <c r="J333" s="4">
        <v>0</v>
      </c>
      <c r="K333" s="4">
        <v>0</v>
      </c>
      <c r="L333" s="4">
        <v>13.798999999999999</v>
      </c>
      <c r="M333" s="4">
        <v>13.798999999999999</v>
      </c>
      <c r="N333" s="4">
        <v>13.798999999999999</v>
      </c>
      <c r="O333" s="4">
        <v>13.798999999999999</v>
      </c>
      <c r="P333" s="4">
        <v>4</v>
      </c>
      <c r="Q333" s="3" t="s">
        <v>26</v>
      </c>
      <c r="R333" s="3">
        <v>0</v>
      </c>
      <c r="S333" s="4">
        <v>0</v>
      </c>
      <c r="T333" s="4">
        <v>46</v>
      </c>
      <c r="U333" s="4">
        <v>84</v>
      </c>
      <c r="V333" s="4">
        <f>IF(ISERROR(VLOOKUP($S$333,'TAR FIN'!$A$1:$O$88,15,0)),0,VLOOKUP($S$333,'TAR FIN'!$A$1:$O$88,15,0))</f>
        <v>0</v>
      </c>
      <c r="W333" s="4">
        <f>IF(ISERROR(VLOOKUP($T$333,'TAR FIN'!$A$1:$O$88,15,0)),0,VLOOKUP($T$333,'TAR FIN'!$A$1:$O$88,15,0))</f>
        <v>306.19</v>
      </c>
      <c r="X333" s="4">
        <f>IF(ISERROR(VLOOKUP($U$333,'TAR FIN'!$A$1:$O$88,15,0)),0,VLOOKUP($U$333,'TAR FIN'!$A$1:$O$88,15,0))</f>
        <v>242.35</v>
      </c>
      <c r="Y333" s="4"/>
      <c r="Z333" s="4">
        <f ca="1">('TUSD BE'!$AM$48+'TUSD BF'!$AM$48+'TUSD CVA'!$AM$48)*1</f>
        <v>448.02163143730991</v>
      </c>
      <c r="AA333" s="4">
        <f>('TE BE'!$AB$38+'TE BF'!$AB$38+'TE CVA'!$AB$38)*1</f>
        <v>191.00751406315655</v>
      </c>
      <c r="AB333" s="4">
        <f>$K$333*$V$333</f>
        <v>0</v>
      </c>
      <c r="AC333" s="4">
        <f>$M$333*$W$333</f>
        <v>4225.1158100000002</v>
      </c>
      <c r="AD333" s="4">
        <f>$O$333*$X$333</f>
        <v>3344.1876499999998</v>
      </c>
      <c r="AE333" s="4">
        <f>$K$333*$Y$333</f>
        <v>0</v>
      </c>
      <c r="AF333" s="4">
        <f ca="1">$M$333*$Z$333</f>
        <v>6182.2504922034395</v>
      </c>
      <c r="AG333" s="4">
        <f>$O$333*$AA$333</f>
        <v>2635.7126865574969</v>
      </c>
    </row>
    <row r="334" spans="1:33" ht="11.25" customHeight="1" x14ac:dyDescent="0.3">
      <c r="A334" s="3" t="s">
        <v>21</v>
      </c>
      <c r="B334" s="3" t="s">
        <v>33</v>
      </c>
      <c r="C334" s="3" t="s">
        <v>23</v>
      </c>
      <c r="D334" s="3" t="s">
        <v>34</v>
      </c>
      <c r="E334" s="3" t="s">
        <v>25</v>
      </c>
      <c r="F334" s="3" t="s">
        <v>25</v>
      </c>
      <c r="G334" s="3" t="s">
        <v>25</v>
      </c>
      <c r="H334" s="3" t="s">
        <v>25</v>
      </c>
      <c r="I334" s="6">
        <v>44470</v>
      </c>
      <c r="J334" s="4">
        <v>0</v>
      </c>
      <c r="K334" s="4">
        <v>0</v>
      </c>
      <c r="L334" s="4">
        <v>21.478000000000002</v>
      </c>
      <c r="M334" s="4">
        <v>21.478000000000002</v>
      </c>
      <c r="N334" s="4">
        <v>21.478000000000002</v>
      </c>
      <c r="O334" s="4">
        <v>21.478000000000002</v>
      </c>
      <c r="P334" s="4">
        <v>38</v>
      </c>
      <c r="Q334" s="3" t="s">
        <v>26</v>
      </c>
      <c r="R334" s="3">
        <v>0</v>
      </c>
      <c r="S334" s="4">
        <v>0</v>
      </c>
      <c r="T334" s="4">
        <v>46</v>
      </c>
      <c r="U334" s="4">
        <v>84</v>
      </c>
      <c r="V334" s="4">
        <f>IF(ISERROR(VLOOKUP($S$334,'TAR FIN'!$A$1:$O$88,15,0)),0,VLOOKUP($S$334,'TAR FIN'!$A$1:$O$88,15,0))</f>
        <v>0</v>
      </c>
      <c r="W334" s="4">
        <f>IF(ISERROR(VLOOKUP($T$334,'TAR FIN'!$A$1:$O$88,15,0)),0,VLOOKUP($T$334,'TAR FIN'!$A$1:$O$88,15,0))</f>
        <v>306.19</v>
      </c>
      <c r="X334" s="4">
        <f>IF(ISERROR(VLOOKUP($U$334,'TAR FIN'!$A$1:$O$88,15,0)),0,VLOOKUP($U$334,'TAR FIN'!$A$1:$O$88,15,0))</f>
        <v>242.35</v>
      </c>
      <c r="Y334" s="4"/>
      <c r="Z334" s="4">
        <f ca="1">('TUSD BE'!$AM$48+'TUSD BF'!$AM$48+'TUSD CVA'!$AM$48)*1</f>
        <v>448.02163143730991</v>
      </c>
      <c r="AA334" s="4">
        <f>('TE BE'!$AB$38+'TE BF'!$AB$38+'TE CVA'!$AB$38)*1</f>
        <v>191.00751406315655</v>
      </c>
      <c r="AB334" s="4">
        <f>$K$334*$V$334</f>
        <v>0</v>
      </c>
      <c r="AC334" s="4">
        <f>$M$334*$W$334</f>
        <v>6576.3488200000002</v>
      </c>
      <c r="AD334" s="4">
        <f>$O$334*$X$334</f>
        <v>5205.1932999999999</v>
      </c>
      <c r="AE334" s="4">
        <f>$K$334*$Y$334</f>
        <v>0</v>
      </c>
      <c r="AF334" s="4">
        <f ca="1">$M$334*$Z$334</f>
        <v>9622.6086000105424</v>
      </c>
      <c r="AG334" s="4">
        <f>$O$334*$AA$334</f>
        <v>4102.4593870484769</v>
      </c>
    </row>
    <row r="335" spans="1:33" ht="11.25" customHeight="1" x14ac:dyDescent="0.3">
      <c r="A335" s="3" t="s">
        <v>28</v>
      </c>
      <c r="B335" s="3" t="s">
        <v>33</v>
      </c>
      <c r="C335" s="3" t="s">
        <v>23</v>
      </c>
      <c r="D335" s="3" t="s">
        <v>34</v>
      </c>
      <c r="E335" s="3" t="s">
        <v>25</v>
      </c>
      <c r="F335" s="3" t="s">
        <v>25</v>
      </c>
      <c r="G335" s="3" t="s">
        <v>25</v>
      </c>
      <c r="H335" s="3" t="s">
        <v>25</v>
      </c>
      <c r="I335" s="6">
        <v>44470</v>
      </c>
      <c r="J335" s="4">
        <v>0</v>
      </c>
      <c r="K335" s="4">
        <v>0</v>
      </c>
      <c r="L335" s="4">
        <v>15.423999999999999</v>
      </c>
      <c r="M335" s="4">
        <v>15.423999999999999</v>
      </c>
      <c r="N335" s="4">
        <v>15.423999999999999</v>
      </c>
      <c r="O335" s="4">
        <v>15.423999999999999</v>
      </c>
      <c r="P335" s="4">
        <v>4</v>
      </c>
      <c r="Q335" s="3" t="s">
        <v>26</v>
      </c>
      <c r="R335" s="3">
        <v>0</v>
      </c>
      <c r="S335" s="4">
        <v>0</v>
      </c>
      <c r="T335" s="4">
        <v>46</v>
      </c>
      <c r="U335" s="4">
        <v>84</v>
      </c>
      <c r="V335" s="4">
        <f>IF(ISERROR(VLOOKUP($S$335,'TAR FIN'!$A$1:$O$88,15,0)),0,VLOOKUP($S$335,'TAR FIN'!$A$1:$O$88,15,0))</f>
        <v>0</v>
      </c>
      <c r="W335" s="4">
        <f>IF(ISERROR(VLOOKUP($T$335,'TAR FIN'!$A$1:$O$88,15,0)),0,VLOOKUP($T$335,'TAR FIN'!$A$1:$O$88,15,0))</f>
        <v>306.19</v>
      </c>
      <c r="X335" s="4">
        <f>IF(ISERROR(VLOOKUP($U$335,'TAR FIN'!$A$1:$O$88,15,0)),0,VLOOKUP($U$335,'TAR FIN'!$A$1:$O$88,15,0))</f>
        <v>242.35</v>
      </c>
      <c r="Y335" s="4"/>
      <c r="Z335" s="4">
        <f ca="1">('TUSD BE'!$AM$48+'TUSD BF'!$AM$48+'TUSD CVA'!$AM$48)*1</f>
        <v>448.02163143730991</v>
      </c>
      <c r="AA335" s="4">
        <f>('TE BE'!$AB$38+'TE BF'!$AB$38+'TE CVA'!$AB$38)*1</f>
        <v>191.00751406315655</v>
      </c>
      <c r="AB335" s="4">
        <f>$K$335*$V$335</f>
        <v>0</v>
      </c>
      <c r="AC335" s="4">
        <f>$M$335*$W$335</f>
        <v>4722.6745599999995</v>
      </c>
      <c r="AD335" s="4">
        <f>$O$335*$X$335</f>
        <v>3738.0063999999998</v>
      </c>
      <c r="AE335" s="4">
        <f>$K$335*$Y$335</f>
        <v>0</v>
      </c>
      <c r="AF335" s="4">
        <f ca="1">$M$335*$Z$335</f>
        <v>6910.2856432890676</v>
      </c>
      <c r="AG335" s="4">
        <f>$O$335*$AA$335</f>
        <v>2946.0998969101265</v>
      </c>
    </row>
    <row r="336" spans="1:33" ht="11.25" customHeight="1" x14ac:dyDescent="0.3">
      <c r="A336" s="3" t="s">
        <v>21</v>
      </c>
      <c r="B336" s="3" t="s">
        <v>33</v>
      </c>
      <c r="C336" s="3" t="s">
        <v>23</v>
      </c>
      <c r="D336" s="3" t="s">
        <v>34</v>
      </c>
      <c r="E336" s="3" t="s">
        <v>25</v>
      </c>
      <c r="F336" s="3" t="s">
        <v>25</v>
      </c>
      <c r="G336" s="3" t="s">
        <v>25</v>
      </c>
      <c r="H336" s="3" t="s">
        <v>25</v>
      </c>
      <c r="I336" s="6">
        <v>44501</v>
      </c>
      <c r="J336" s="4">
        <v>0</v>
      </c>
      <c r="K336" s="4">
        <v>0</v>
      </c>
      <c r="L336" s="4">
        <v>24.670999999999999</v>
      </c>
      <c r="M336" s="4">
        <v>24.670999999999999</v>
      </c>
      <c r="N336" s="4">
        <v>24.670999999999999</v>
      </c>
      <c r="O336" s="4">
        <v>24.670999999999999</v>
      </c>
      <c r="P336" s="4">
        <v>37</v>
      </c>
      <c r="Q336" s="3" t="s">
        <v>26</v>
      </c>
      <c r="R336" s="3">
        <v>0</v>
      </c>
      <c r="S336" s="4">
        <v>0</v>
      </c>
      <c r="T336" s="4">
        <v>46</v>
      </c>
      <c r="U336" s="4">
        <v>84</v>
      </c>
      <c r="V336" s="4">
        <f>IF(ISERROR(VLOOKUP($S$336,'TAR FIN'!$A$1:$O$88,15,0)),0,VLOOKUP($S$336,'TAR FIN'!$A$1:$O$88,15,0))</f>
        <v>0</v>
      </c>
      <c r="W336" s="4">
        <f>IF(ISERROR(VLOOKUP($T$336,'TAR FIN'!$A$1:$O$88,15,0)),0,VLOOKUP($T$336,'TAR FIN'!$A$1:$O$88,15,0))</f>
        <v>306.19</v>
      </c>
      <c r="X336" s="4">
        <f>IF(ISERROR(VLOOKUP($U$336,'TAR FIN'!$A$1:$O$88,15,0)),0,VLOOKUP($U$336,'TAR FIN'!$A$1:$O$88,15,0))</f>
        <v>242.35</v>
      </c>
      <c r="Y336" s="4"/>
      <c r="Z336" s="4">
        <f ca="1">('TUSD BE'!$AM$48+'TUSD BF'!$AM$48+'TUSD CVA'!$AM$48)*1</f>
        <v>448.02163143730991</v>
      </c>
      <c r="AA336" s="4">
        <f>('TE BE'!$AB$38+'TE BF'!$AB$38+'TE CVA'!$AB$38)*1</f>
        <v>191.00751406315655</v>
      </c>
      <c r="AB336" s="4">
        <f>$K$336*$V$336</f>
        <v>0</v>
      </c>
      <c r="AC336" s="4">
        <f>$M$336*$W$336</f>
        <v>7554.0134899999994</v>
      </c>
      <c r="AD336" s="4">
        <f>$O$336*$X$336</f>
        <v>5979.01685</v>
      </c>
      <c r="AE336" s="4">
        <f>$K$336*$Y$336</f>
        <v>0</v>
      </c>
      <c r="AF336" s="4">
        <f ca="1">$M$336*$Z$336</f>
        <v>11053.141669189872</v>
      </c>
      <c r="AG336" s="4">
        <f>$O$336*$AA$336</f>
        <v>4712.3463794521349</v>
      </c>
    </row>
    <row r="337" spans="1:33" ht="11.25" customHeight="1" x14ac:dyDescent="0.3">
      <c r="A337" s="3" t="s">
        <v>28</v>
      </c>
      <c r="B337" s="3" t="s">
        <v>33</v>
      </c>
      <c r="C337" s="3" t="s">
        <v>23</v>
      </c>
      <c r="D337" s="3" t="s">
        <v>34</v>
      </c>
      <c r="E337" s="3" t="s">
        <v>25</v>
      </c>
      <c r="F337" s="3" t="s">
        <v>25</v>
      </c>
      <c r="G337" s="3" t="s">
        <v>25</v>
      </c>
      <c r="H337" s="3" t="s">
        <v>25</v>
      </c>
      <c r="I337" s="6">
        <v>44501</v>
      </c>
      <c r="J337" s="4">
        <v>0</v>
      </c>
      <c r="K337" s="4">
        <v>0</v>
      </c>
      <c r="L337" s="4">
        <v>9.93</v>
      </c>
      <c r="M337" s="4">
        <v>9.93</v>
      </c>
      <c r="N337" s="4">
        <v>9.93</v>
      </c>
      <c r="O337" s="4">
        <v>9.93</v>
      </c>
      <c r="P337" s="4">
        <v>4</v>
      </c>
      <c r="Q337" s="3" t="s">
        <v>26</v>
      </c>
      <c r="R337" s="3">
        <v>0</v>
      </c>
      <c r="S337" s="4">
        <v>0</v>
      </c>
      <c r="T337" s="4">
        <v>46</v>
      </c>
      <c r="U337" s="4">
        <v>84</v>
      </c>
      <c r="V337" s="4">
        <f>IF(ISERROR(VLOOKUP($S$337,'TAR FIN'!$A$1:$O$88,15,0)),0,VLOOKUP($S$337,'TAR FIN'!$A$1:$O$88,15,0))</f>
        <v>0</v>
      </c>
      <c r="W337" s="4">
        <f>IF(ISERROR(VLOOKUP($T$337,'TAR FIN'!$A$1:$O$88,15,0)),0,VLOOKUP($T$337,'TAR FIN'!$A$1:$O$88,15,0))</f>
        <v>306.19</v>
      </c>
      <c r="X337" s="4">
        <f>IF(ISERROR(VLOOKUP($U$337,'TAR FIN'!$A$1:$O$88,15,0)),0,VLOOKUP($U$337,'TAR FIN'!$A$1:$O$88,15,0))</f>
        <v>242.35</v>
      </c>
      <c r="Y337" s="4"/>
      <c r="Z337" s="4">
        <f ca="1">('TUSD BE'!$AM$48+'TUSD BF'!$AM$48+'TUSD CVA'!$AM$48)*1</f>
        <v>448.02163143730991</v>
      </c>
      <c r="AA337" s="4">
        <f>('TE BE'!$AB$38+'TE BF'!$AB$38+'TE CVA'!$AB$38)*1</f>
        <v>191.00751406315655</v>
      </c>
      <c r="AB337" s="4">
        <f>$K$337*$V$337</f>
        <v>0</v>
      </c>
      <c r="AC337" s="4">
        <f>$M$337*$W$337</f>
        <v>3040.4666999999999</v>
      </c>
      <c r="AD337" s="4">
        <f>$O$337*$X$337</f>
        <v>2406.5355</v>
      </c>
      <c r="AE337" s="4">
        <f>$K$337*$Y$337</f>
        <v>0</v>
      </c>
      <c r="AF337" s="4">
        <f ca="1">$M$337*$Z$337</f>
        <v>4448.8548001724876</v>
      </c>
      <c r="AG337" s="4">
        <f>$O$337*$AA$337</f>
        <v>1896.7046146471446</v>
      </c>
    </row>
    <row r="338" spans="1:33" ht="11.25" customHeight="1" x14ac:dyDescent="0.3">
      <c r="A338" s="3" t="s">
        <v>21</v>
      </c>
      <c r="B338" s="3" t="s">
        <v>33</v>
      </c>
      <c r="C338" s="3" t="s">
        <v>23</v>
      </c>
      <c r="D338" s="3" t="s">
        <v>34</v>
      </c>
      <c r="E338" s="3" t="s">
        <v>25</v>
      </c>
      <c r="F338" s="3" t="s">
        <v>25</v>
      </c>
      <c r="G338" s="3" t="s">
        <v>25</v>
      </c>
      <c r="H338" s="3" t="s">
        <v>25</v>
      </c>
      <c r="I338" s="6">
        <v>44531</v>
      </c>
      <c r="J338" s="4">
        <v>0</v>
      </c>
      <c r="K338" s="4">
        <v>0</v>
      </c>
      <c r="L338" s="4">
        <v>26.326000000000001</v>
      </c>
      <c r="M338" s="4">
        <v>26.326000000000001</v>
      </c>
      <c r="N338" s="4">
        <v>26.326000000000001</v>
      </c>
      <c r="O338" s="4">
        <v>26.326000000000001</v>
      </c>
      <c r="P338" s="4">
        <v>37</v>
      </c>
      <c r="Q338" s="3" t="s">
        <v>26</v>
      </c>
      <c r="R338" s="3">
        <v>0</v>
      </c>
      <c r="S338" s="4">
        <v>0</v>
      </c>
      <c r="T338" s="4">
        <v>46</v>
      </c>
      <c r="U338" s="4">
        <v>84</v>
      </c>
      <c r="V338" s="4">
        <f>IF(ISERROR(VLOOKUP($S$338,'TAR FIN'!$A$1:$O$88,15,0)),0,VLOOKUP($S$338,'TAR FIN'!$A$1:$O$88,15,0))</f>
        <v>0</v>
      </c>
      <c r="W338" s="4">
        <f>IF(ISERROR(VLOOKUP($T$338,'TAR FIN'!$A$1:$O$88,15,0)),0,VLOOKUP($T$338,'TAR FIN'!$A$1:$O$88,15,0))</f>
        <v>306.19</v>
      </c>
      <c r="X338" s="4">
        <f>IF(ISERROR(VLOOKUP($U$338,'TAR FIN'!$A$1:$O$88,15,0)),0,VLOOKUP($U$338,'TAR FIN'!$A$1:$O$88,15,0))</f>
        <v>242.35</v>
      </c>
      <c r="Y338" s="4"/>
      <c r="Z338" s="4">
        <f ca="1">('TUSD BE'!$AM$48+'TUSD BF'!$AM$48+'TUSD CVA'!$AM$48)*1</f>
        <v>448.02163143730991</v>
      </c>
      <c r="AA338" s="4">
        <f>('TE BE'!$AB$38+'TE BF'!$AB$38+'TE CVA'!$AB$38)*1</f>
        <v>191.00751406315655</v>
      </c>
      <c r="AB338" s="4">
        <f>$K$338*$V$338</f>
        <v>0</v>
      </c>
      <c r="AC338" s="4">
        <f>$M$338*$W$338</f>
        <v>8060.7579400000004</v>
      </c>
      <c r="AD338" s="4">
        <f>$O$338*$X$338</f>
        <v>6380.1061</v>
      </c>
      <c r="AE338" s="4">
        <f>$K$338*$Y$338</f>
        <v>0</v>
      </c>
      <c r="AF338" s="4">
        <f ca="1">$M$338*$Z$338</f>
        <v>11794.617469218621</v>
      </c>
      <c r="AG338" s="4">
        <f>$O$338*$AA$338</f>
        <v>5028.4638152266598</v>
      </c>
    </row>
    <row r="339" spans="1:33" ht="11.25" customHeight="1" x14ac:dyDescent="0.3">
      <c r="A339" s="3" t="s">
        <v>28</v>
      </c>
      <c r="B339" s="3" t="s">
        <v>33</v>
      </c>
      <c r="C339" s="3" t="s">
        <v>23</v>
      </c>
      <c r="D339" s="3" t="s">
        <v>34</v>
      </c>
      <c r="E339" s="3" t="s">
        <v>25</v>
      </c>
      <c r="F339" s="3" t="s">
        <v>25</v>
      </c>
      <c r="G339" s="3" t="s">
        <v>25</v>
      </c>
      <c r="H339" s="3" t="s">
        <v>25</v>
      </c>
      <c r="I339" s="6">
        <v>44531</v>
      </c>
      <c r="J339" s="4">
        <v>0</v>
      </c>
      <c r="K339" s="4">
        <v>0</v>
      </c>
      <c r="L339" s="4">
        <v>8.94</v>
      </c>
      <c r="M339" s="4">
        <v>8.94</v>
      </c>
      <c r="N339" s="4">
        <v>8.94</v>
      </c>
      <c r="O339" s="4">
        <v>8.94</v>
      </c>
      <c r="P339" s="4">
        <v>4</v>
      </c>
      <c r="Q339" s="3" t="s">
        <v>26</v>
      </c>
      <c r="R339" s="3">
        <v>0</v>
      </c>
      <c r="S339" s="4">
        <v>0</v>
      </c>
      <c r="T339" s="4">
        <v>46</v>
      </c>
      <c r="U339" s="4">
        <v>84</v>
      </c>
      <c r="V339" s="4">
        <f>IF(ISERROR(VLOOKUP($S$339,'TAR FIN'!$A$1:$O$88,15,0)),0,VLOOKUP($S$339,'TAR FIN'!$A$1:$O$88,15,0))</f>
        <v>0</v>
      </c>
      <c r="W339" s="4">
        <f>IF(ISERROR(VLOOKUP($T$339,'TAR FIN'!$A$1:$O$88,15,0)),0,VLOOKUP($T$339,'TAR FIN'!$A$1:$O$88,15,0))</f>
        <v>306.19</v>
      </c>
      <c r="X339" s="4">
        <f>IF(ISERROR(VLOOKUP($U$339,'TAR FIN'!$A$1:$O$88,15,0)),0,VLOOKUP($U$339,'TAR FIN'!$A$1:$O$88,15,0))</f>
        <v>242.35</v>
      </c>
      <c r="Y339" s="4"/>
      <c r="Z339" s="4">
        <f ca="1">('TUSD BE'!$AM$48+'TUSD BF'!$AM$48+'TUSD CVA'!$AM$48)*1</f>
        <v>448.02163143730991</v>
      </c>
      <c r="AA339" s="4">
        <f>('TE BE'!$AB$38+'TE BF'!$AB$38+'TE CVA'!$AB$38)*1</f>
        <v>191.00751406315655</v>
      </c>
      <c r="AB339" s="4">
        <f>$K$339*$V$339</f>
        <v>0</v>
      </c>
      <c r="AC339" s="4">
        <f>$M$339*$W$339</f>
        <v>2737.3386</v>
      </c>
      <c r="AD339" s="4">
        <f>$O$339*$X$339</f>
        <v>2166.6089999999999</v>
      </c>
      <c r="AE339" s="4">
        <f>$K$339*$Y$339</f>
        <v>0</v>
      </c>
      <c r="AF339" s="4">
        <f ca="1">$M$339*$Z$339</f>
        <v>4005.3133850495506</v>
      </c>
      <c r="AG339" s="4">
        <f>$O$339*$AA$339</f>
        <v>1707.6071757246195</v>
      </c>
    </row>
    <row r="340" spans="1:33" ht="11.25" customHeight="1" x14ac:dyDescent="0.3">
      <c r="A340" s="3" t="s">
        <v>21</v>
      </c>
      <c r="B340" s="3" t="s">
        <v>33</v>
      </c>
      <c r="C340" s="3" t="s">
        <v>23</v>
      </c>
      <c r="D340" s="3" t="s">
        <v>34</v>
      </c>
      <c r="E340" s="3" t="s">
        <v>25</v>
      </c>
      <c r="F340" s="3" t="s">
        <v>25</v>
      </c>
      <c r="G340" s="3" t="s">
        <v>25</v>
      </c>
      <c r="H340" s="3" t="s">
        <v>25</v>
      </c>
      <c r="I340" s="6">
        <v>44562</v>
      </c>
      <c r="J340" s="4">
        <v>0</v>
      </c>
      <c r="K340" s="4">
        <v>0</v>
      </c>
      <c r="L340" s="4">
        <v>17.579000000000001</v>
      </c>
      <c r="M340" s="4">
        <v>17.579000000000001</v>
      </c>
      <c r="N340" s="4">
        <v>17.579000000000001</v>
      </c>
      <c r="O340" s="4">
        <v>17.579000000000001</v>
      </c>
      <c r="P340" s="4">
        <v>37</v>
      </c>
      <c r="Q340" s="3" t="s">
        <v>26</v>
      </c>
      <c r="R340" s="3">
        <v>0</v>
      </c>
      <c r="S340" s="4">
        <v>0</v>
      </c>
      <c r="T340" s="4">
        <v>46</v>
      </c>
      <c r="U340" s="4">
        <v>84</v>
      </c>
      <c r="V340" s="4">
        <f>IF(ISERROR(VLOOKUP($S$340,'TAR FIN'!$A$1:$O$88,15,0)),0,VLOOKUP($S$340,'TAR FIN'!$A$1:$O$88,15,0))</f>
        <v>0</v>
      </c>
      <c r="W340" s="4">
        <f>IF(ISERROR(VLOOKUP($T$340,'TAR FIN'!$A$1:$O$88,15,0)),0,VLOOKUP($T$340,'TAR FIN'!$A$1:$O$88,15,0))</f>
        <v>306.19</v>
      </c>
      <c r="X340" s="4">
        <f>IF(ISERROR(VLOOKUP($U$340,'TAR FIN'!$A$1:$O$88,15,0)),0,VLOOKUP($U$340,'TAR FIN'!$A$1:$O$88,15,0))</f>
        <v>242.35</v>
      </c>
      <c r="Y340" s="4"/>
      <c r="Z340" s="4">
        <f ca="1">('TUSD BE'!$AM$48+'TUSD BF'!$AM$48+'TUSD CVA'!$AM$48)*1</f>
        <v>448.02163143730991</v>
      </c>
      <c r="AA340" s="4">
        <f>('TE BE'!$AB$38+'TE BF'!$AB$38+'TE CVA'!$AB$38)*1</f>
        <v>191.00751406315655</v>
      </c>
      <c r="AB340" s="4">
        <f>$K$340*$V$340</f>
        <v>0</v>
      </c>
      <c r="AC340" s="4">
        <f>$M$340*$W$340</f>
        <v>5382.5140099999999</v>
      </c>
      <c r="AD340" s="4">
        <f>$O$340*$X$340</f>
        <v>4260.2706500000004</v>
      </c>
      <c r="AE340" s="4">
        <f>$K$340*$Y$340</f>
        <v>0</v>
      </c>
      <c r="AF340" s="4">
        <f ca="1">$M$340*$Z$340</f>
        <v>7875.772259036471</v>
      </c>
      <c r="AG340" s="4">
        <f>$O$340*$AA$340</f>
        <v>3357.721089716229</v>
      </c>
    </row>
    <row r="341" spans="1:33" ht="11.25" customHeight="1" x14ac:dyDescent="0.3">
      <c r="A341" s="3" t="s">
        <v>28</v>
      </c>
      <c r="B341" s="3" t="s">
        <v>33</v>
      </c>
      <c r="C341" s="3" t="s">
        <v>23</v>
      </c>
      <c r="D341" s="3" t="s">
        <v>34</v>
      </c>
      <c r="E341" s="3" t="s">
        <v>25</v>
      </c>
      <c r="F341" s="3" t="s">
        <v>25</v>
      </c>
      <c r="G341" s="3" t="s">
        <v>25</v>
      </c>
      <c r="H341" s="3" t="s">
        <v>25</v>
      </c>
      <c r="I341" s="6">
        <v>44562</v>
      </c>
      <c r="J341" s="4">
        <v>0</v>
      </c>
      <c r="K341" s="4">
        <v>0</v>
      </c>
      <c r="L341" s="4">
        <v>0.4</v>
      </c>
      <c r="M341" s="4">
        <v>0.4</v>
      </c>
      <c r="N341" s="4">
        <v>0.4</v>
      </c>
      <c r="O341" s="4">
        <v>0.4</v>
      </c>
      <c r="P341" s="4">
        <v>4</v>
      </c>
      <c r="Q341" s="3" t="s">
        <v>26</v>
      </c>
      <c r="R341" s="3">
        <v>0</v>
      </c>
      <c r="S341" s="4">
        <v>0</v>
      </c>
      <c r="T341" s="4">
        <v>46</v>
      </c>
      <c r="U341" s="4">
        <v>84</v>
      </c>
      <c r="V341" s="4">
        <f>IF(ISERROR(VLOOKUP($S$341,'TAR FIN'!$A$1:$O$88,15,0)),0,VLOOKUP($S$341,'TAR FIN'!$A$1:$O$88,15,0))</f>
        <v>0</v>
      </c>
      <c r="W341" s="4">
        <f>IF(ISERROR(VLOOKUP($T$341,'TAR FIN'!$A$1:$O$88,15,0)),0,VLOOKUP($T$341,'TAR FIN'!$A$1:$O$88,15,0))</f>
        <v>306.19</v>
      </c>
      <c r="X341" s="4">
        <f>IF(ISERROR(VLOOKUP($U$341,'TAR FIN'!$A$1:$O$88,15,0)),0,VLOOKUP($U$341,'TAR FIN'!$A$1:$O$88,15,0))</f>
        <v>242.35</v>
      </c>
      <c r="Y341" s="4"/>
      <c r="Z341" s="4">
        <f ca="1">('TUSD BE'!$AM$48+'TUSD BF'!$AM$48+'TUSD CVA'!$AM$48)*1</f>
        <v>448.02163143730991</v>
      </c>
      <c r="AA341" s="4">
        <f>('TE BE'!$AB$38+'TE BF'!$AB$38+'TE CVA'!$AB$38)*1</f>
        <v>191.00751406315655</v>
      </c>
      <c r="AB341" s="4">
        <f>$K$341*$V$341</f>
        <v>0</v>
      </c>
      <c r="AC341" s="4">
        <f>$M$341*$W$341</f>
        <v>122.476</v>
      </c>
      <c r="AD341" s="4">
        <f>$O$341*$X$341</f>
        <v>96.94</v>
      </c>
      <c r="AE341" s="4">
        <f>$K$341*$Y$341</f>
        <v>0</v>
      </c>
      <c r="AF341" s="4">
        <f ca="1">$M$341*$Z$341</f>
        <v>179.20865257492397</v>
      </c>
      <c r="AG341" s="4">
        <f>$O$341*$AA$341</f>
        <v>76.403005625262622</v>
      </c>
    </row>
    <row r="342" spans="1:33" ht="11.25" customHeight="1" x14ac:dyDescent="0.3">
      <c r="A342" s="3" t="s">
        <v>21</v>
      </c>
      <c r="B342" s="3" t="s">
        <v>33</v>
      </c>
      <c r="C342" s="3" t="s">
        <v>23</v>
      </c>
      <c r="D342" s="3" t="s">
        <v>34</v>
      </c>
      <c r="E342" s="3" t="s">
        <v>25</v>
      </c>
      <c r="F342" s="3" t="s">
        <v>25</v>
      </c>
      <c r="G342" s="3" t="s">
        <v>25</v>
      </c>
      <c r="H342" s="3" t="s">
        <v>25</v>
      </c>
      <c r="I342" s="6">
        <v>44593</v>
      </c>
      <c r="J342" s="4">
        <v>0</v>
      </c>
      <c r="K342" s="4">
        <v>0</v>
      </c>
      <c r="L342" s="4">
        <v>49.401000000000003</v>
      </c>
      <c r="M342" s="4">
        <v>49.401000000000003</v>
      </c>
      <c r="N342" s="4">
        <v>49.401000000000003</v>
      </c>
      <c r="O342" s="4">
        <v>49.401000000000003</v>
      </c>
      <c r="P342" s="4">
        <v>38</v>
      </c>
      <c r="Q342" s="3" t="s">
        <v>26</v>
      </c>
      <c r="R342" s="3">
        <v>0</v>
      </c>
      <c r="S342" s="4">
        <v>0</v>
      </c>
      <c r="T342" s="4">
        <v>46</v>
      </c>
      <c r="U342" s="4">
        <v>84</v>
      </c>
      <c r="V342" s="4">
        <f>IF(ISERROR(VLOOKUP($S$342,'TAR FIN'!$A$1:$O$88,15,0)),0,VLOOKUP($S$342,'TAR FIN'!$A$1:$O$88,15,0))</f>
        <v>0</v>
      </c>
      <c r="W342" s="4">
        <f>IF(ISERROR(VLOOKUP($T$342,'TAR FIN'!$A$1:$O$88,15,0)),0,VLOOKUP($T$342,'TAR FIN'!$A$1:$O$88,15,0))</f>
        <v>306.19</v>
      </c>
      <c r="X342" s="4">
        <f>IF(ISERROR(VLOOKUP($U$342,'TAR FIN'!$A$1:$O$88,15,0)),0,VLOOKUP($U$342,'TAR FIN'!$A$1:$O$88,15,0))</f>
        <v>242.35</v>
      </c>
      <c r="Y342" s="4"/>
      <c r="Z342" s="4">
        <f ca="1">('TUSD BE'!$AM$48+'TUSD BF'!$AM$48+'TUSD CVA'!$AM$48)*1</f>
        <v>448.02163143730991</v>
      </c>
      <c r="AA342" s="4">
        <f>('TE BE'!$AB$38+'TE BF'!$AB$38+'TE CVA'!$AB$38)*1</f>
        <v>191.00751406315655</v>
      </c>
      <c r="AB342" s="4">
        <f>$K$342*$V$342</f>
        <v>0</v>
      </c>
      <c r="AC342" s="4">
        <f>$M$342*$W$342</f>
        <v>15126.092190000001</v>
      </c>
      <c r="AD342" s="4">
        <f>$O$342*$X$342</f>
        <v>11972.332350000001</v>
      </c>
      <c r="AE342" s="4">
        <f>$K$342*$Y$342</f>
        <v>0</v>
      </c>
      <c r="AF342" s="4">
        <f ca="1">$M$342*$Z$342</f>
        <v>22132.716614634548</v>
      </c>
      <c r="AG342" s="4">
        <f>$O$342*$AA$342</f>
        <v>9435.9622022339972</v>
      </c>
    </row>
    <row r="343" spans="1:33" ht="11.25" customHeight="1" x14ac:dyDescent="0.3">
      <c r="A343" s="3" t="s">
        <v>28</v>
      </c>
      <c r="B343" s="3" t="s">
        <v>33</v>
      </c>
      <c r="C343" s="3" t="s">
        <v>23</v>
      </c>
      <c r="D343" s="3" t="s">
        <v>34</v>
      </c>
      <c r="E343" s="3" t="s">
        <v>25</v>
      </c>
      <c r="F343" s="3" t="s">
        <v>25</v>
      </c>
      <c r="G343" s="3" t="s">
        <v>25</v>
      </c>
      <c r="H343" s="3" t="s">
        <v>25</v>
      </c>
      <c r="I343" s="6">
        <v>44593</v>
      </c>
      <c r="J343" s="4">
        <v>0</v>
      </c>
      <c r="K343" s="4">
        <v>0</v>
      </c>
      <c r="L343" s="4">
        <v>0.82499999999999996</v>
      </c>
      <c r="M343" s="4">
        <v>0.82499999999999996</v>
      </c>
      <c r="N343" s="4">
        <v>0.82499999999999996</v>
      </c>
      <c r="O343" s="4">
        <v>0.82499999999999996</v>
      </c>
      <c r="P343" s="4">
        <v>3</v>
      </c>
      <c r="Q343" s="3" t="s">
        <v>26</v>
      </c>
      <c r="R343" s="3">
        <v>0</v>
      </c>
      <c r="S343" s="4">
        <v>0</v>
      </c>
      <c r="T343" s="4">
        <v>46</v>
      </c>
      <c r="U343" s="4">
        <v>84</v>
      </c>
      <c r="V343" s="4">
        <f>IF(ISERROR(VLOOKUP($S$343,'TAR FIN'!$A$1:$O$88,15,0)),0,VLOOKUP($S$343,'TAR FIN'!$A$1:$O$88,15,0))</f>
        <v>0</v>
      </c>
      <c r="W343" s="4">
        <f>IF(ISERROR(VLOOKUP($T$343,'TAR FIN'!$A$1:$O$88,15,0)),0,VLOOKUP($T$343,'TAR FIN'!$A$1:$O$88,15,0))</f>
        <v>306.19</v>
      </c>
      <c r="X343" s="4">
        <f>IF(ISERROR(VLOOKUP($U$343,'TAR FIN'!$A$1:$O$88,15,0)),0,VLOOKUP($U$343,'TAR FIN'!$A$1:$O$88,15,0))</f>
        <v>242.35</v>
      </c>
      <c r="Y343" s="4"/>
      <c r="Z343" s="4">
        <f ca="1">('TUSD BE'!$AM$48+'TUSD BF'!$AM$48+'TUSD CVA'!$AM$48)*1</f>
        <v>448.02163143730991</v>
      </c>
      <c r="AA343" s="4">
        <f>('TE BE'!$AB$38+'TE BF'!$AB$38+'TE CVA'!$AB$38)*1</f>
        <v>191.00751406315655</v>
      </c>
      <c r="AB343" s="4">
        <f>$K$343*$V$343</f>
        <v>0</v>
      </c>
      <c r="AC343" s="4">
        <f>$M$343*$W$343</f>
        <v>252.60674999999998</v>
      </c>
      <c r="AD343" s="4">
        <f>$O$343*$X$343</f>
        <v>199.93874999999997</v>
      </c>
      <c r="AE343" s="4">
        <f>$K$343*$Y$343</f>
        <v>0</v>
      </c>
      <c r="AF343" s="4">
        <f ca="1">$M$343*$Z$343</f>
        <v>369.61784593578068</v>
      </c>
      <c r="AG343" s="4">
        <f>$O$343*$AA$343</f>
        <v>157.58119910210414</v>
      </c>
    </row>
    <row r="344" spans="1:33" ht="11.25" customHeight="1" x14ac:dyDescent="0.3">
      <c r="A344" s="3" t="s">
        <v>21</v>
      </c>
      <c r="B344" s="3" t="s">
        <v>33</v>
      </c>
      <c r="C344" s="3" t="s">
        <v>23</v>
      </c>
      <c r="D344" s="3" t="s">
        <v>34</v>
      </c>
      <c r="E344" s="3" t="s">
        <v>25</v>
      </c>
      <c r="F344" s="3" t="s">
        <v>25</v>
      </c>
      <c r="G344" s="3" t="s">
        <v>25</v>
      </c>
      <c r="H344" s="3" t="s">
        <v>25</v>
      </c>
      <c r="I344" s="6">
        <v>44621</v>
      </c>
      <c r="J344" s="4">
        <v>0</v>
      </c>
      <c r="K344" s="4">
        <v>0</v>
      </c>
      <c r="L344" s="4">
        <v>41.225999999999999</v>
      </c>
      <c r="M344" s="4">
        <v>41.225999999999999</v>
      </c>
      <c r="N344" s="4">
        <v>41.225999999999999</v>
      </c>
      <c r="O344" s="4">
        <v>41.225999999999999</v>
      </c>
      <c r="P344" s="4">
        <v>37</v>
      </c>
      <c r="Q344" s="3" t="s">
        <v>26</v>
      </c>
      <c r="R344" s="3">
        <v>0</v>
      </c>
      <c r="S344" s="4">
        <v>0</v>
      </c>
      <c r="T344" s="4">
        <v>46</v>
      </c>
      <c r="U344" s="4">
        <v>84</v>
      </c>
      <c r="V344" s="4">
        <f>IF(ISERROR(VLOOKUP($S$344,'TAR FIN'!$A$1:$O$88,15,0)),0,VLOOKUP($S$344,'TAR FIN'!$A$1:$O$88,15,0))</f>
        <v>0</v>
      </c>
      <c r="W344" s="4">
        <f>IF(ISERROR(VLOOKUP($T$344,'TAR FIN'!$A$1:$O$88,15,0)),0,VLOOKUP($T$344,'TAR FIN'!$A$1:$O$88,15,0))</f>
        <v>306.19</v>
      </c>
      <c r="X344" s="4">
        <f>IF(ISERROR(VLOOKUP($U$344,'TAR FIN'!$A$1:$O$88,15,0)),0,VLOOKUP($U$344,'TAR FIN'!$A$1:$O$88,15,0))</f>
        <v>242.35</v>
      </c>
      <c r="Y344" s="4"/>
      <c r="Z344" s="4">
        <f ca="1">('TUSD BE'!$AM$48+'TUSD BF'!$AM$48+'TUSD CVA'!$AM$48)*1</f>
        <v>448.02163143730991</v>
      </c>
      <c r="AA344" s="4">
        <f>('TE BE'!$AB$38+'TE BF'!$AB$38+'TE CVA'!$AB$38)*1</f>
        <v>191.00751406315655</v>
      </c>
      <c r="AB344" s="4">
        <f>$K$344*$V$344</f>
        <v>0</v>
      </c>
      <c r="AC344" s="4">
        <f>$M$344*$W$344</f>
        <v>12622.988939999999</v>
      </c>
      <c r="AD344" s="4">
        <f>$O$344*$X$344</f>
        <v>9991.1211000000003</v>
      </c>
      <c r="AE344" s="4">
        <f>$K$344*$Y$344</f>
        <v>0</v>
      </c>
      <c r="AF344" s="4">
        <f ca="1">$M$344*$Z$344</f>
        <v>18470.139777634537</v>
      </c>
      <c r="AG344" s="4">
        <f>$O$344*$AA$344</f>
        <v>7874.4757747676913</v>
      </c>
    </row>
    <row r="345" spans="1:33" ht="11.25" customHeight="1" x14ac:dyDescent="0.3">
      <c r="A345" s="3" t="s">
        <v>28</v>
      </c>
      <c r="B345" s="3" t="s">
        <v>33</v>
      </c>
      <c r="C345" s="3" t="s">
        <v>23</v>
      </c>
      <c r="D345" s="3" t="s">
        <v>34</v>
      </c>
      <c r="E345" s="3" t="s">
        <v>25</v>
      </c>
      <c r="F345" s="3" t="s">
        <v>25</v>
      </c>
      <c r="G345" s="3" t="s">
        <v>25</v>
      </c>
      <c r="H345" s="3" t="s">
        <v>25</v>
      </c>
      <c r="I345" s="6">
        <v>44621</v>
      </c>
      <c r="J345" s="4">
        <v>0</v>
      </c>
      <c r="K345" s="4">
        <v>0</v>
      </c>
      <c r="L345" s="4">
        <v>1.58</v>
      </c>
      <c r="M345" s="4">
        <v>1.58</v>
      </c>
      <c r="N345" s="4">
        <v>1.58</v>
      </c>
      <c r="O345" s="4">
        <v>1.58</v>
      </c>
      <c r="P345" s="4">
        <v>3</v>
      </c>
      <c r="Q345" s="3" t="s">
        <v>26</v>
      </c>
      <c r="R345" s="3">
        <v>0</v>
      </c>
      <c r="S345" s="4">
        <v>0</v>
      </c>
      <c r="T345" s="4">
        <v>46</v>
      </c>
      <c r="U345" s="4">
        <v>84</v>
      </c>
      <c r="V345" s="4">
        <f>IF(ISERROR(VLOOKUP($S$345,'TAR FIN'!$A$1:$O$88,15,0)),0,VLOOKUP($S$345,'TAR FIN'!$A$1:$O$88,15,0))</f>
        <v>0</v>
      </c>
      <c r="W345" s="4">
        <f>IF(ISERROR(VLOOKUP($T$345,'TAR FIN'!$A$1:$O$88,15,0)),0,VLOOKUP($T$345,'TAR FIN'!$A$1:$O$88,15,0))</f>
        <v>306.19</v>
      </c>
      <c r="X345" s="4">
        <f>IF(ISERROR(VLOOKUP($U$345,'TAR FIN'!$A$1:$O$88,15,0)),0,VLOOKUP($U$345,'TAR FIN'!$A$1:$O$88,15,0))</f>
        <v>242.35</v>
      </c>
      <c r="Y345" s="4"/>
      <c r="Z345" s="4">
        <f ca="1">('TUSD BE'!$AM$48+'TUSD BF'!$AM$48+'TUSD CVA'!$AM$48)*1</f>
        <v>448.02163143730991</v>
      </c>
      <c r="AA345" s="4">
        <f>('TE BE'!$AB$38+'TE BF'!$AB$38+'TE CVA'!$AB$38)*1</f>
        <v>191.00751406315655</v>
      </c>
      <c r="AB345" s="4">
        <f>$K$345*$V$345</f>
        <v>0</v>
      </c>
      <c r="AC345" s="4">
        <f>$M$345*$W$345</f>
        <v>483.78020000000004</v>
      </c>
      <c r="AD345" s="4">
        <f>$O$345*$X$345</f>
        <v>382.91300000000001</v>
      </c>
      <c r="AE345" s="4">
        <f>$K$345*$Y$345</f>
        <v>0</v>
      </c>
      <c r="AF345" s="4">
        <f ca="1">$M$345*$Z$345</f>
        <v>707.87417767094973</v>
      </c>
      <c r="AG345" s="4">
        <f>$O$345*$AA$345</f>
        <v>301.79187221978736</v>
      </c>
    </row>
    <row r="346" spans="1:33" ht="11.25" customHeight="1" x14ac:dyDescent="0.3">
      <c r="A346" s="3" t="s">
        <v>21</v>
      </c>
      <c r="B346" s="3" t="s">
        <v>33</v>
      </c>
      <c r="C346" s="3" t="s">
        <v>23</v>
      </c>
      <c r="D346" s="3" t="s">
        <v>34</v>
      </c>
      <c r="E346" s="3" t="s">
        <v>25</v>
      </c>
      <c r="F346" s="3" t="s">
        <v>25</v>
      </c>
      <c r="G346" s="3" t="s">
        <v>25</v>
      </c>
      <c r="H346" s="3" t="s">
        <v>25</v>
      </c>
      <c r="I346" s="6">
        <v>44652</v>
      </c>
      <c r="J346" s="4">
        <v>0</v>
      </c>
      <c r="K346" s="4">
        <v>0</v>
      </c>
      <c r="L346" s="4">
        <v>38.97</v>
      </c>
      <c r="M346" s="4">
        <v>38.97</v>
      </c>
      <c r="N346" s="4">
        <v>38.97</v>
      </c>
      <c r="O346" s="4">
        <v>38.97</v>
      </c>
      <c r="P346" s="4">
        <v>38</v>
      </c>
      <c r="Q346" s="3" t="s">
        <v>26</v>
      </c>
      <c r="R346" s="3">
        <v>0</v>
      </c>
      <c r="S346" s="4">
        <v>0</v>
      </c>
      <c r="T346" s="4">
        <v>46</v>
      </c>
      <c r="U346" s="4">
        <v>84</v>
      </c>
      <c r="V346" s="4">
        <f>IF(ISERROR(VLOOKUP($S$346,'TAR FIN'!$A$1:$O$88,15,0)),0,VLOOKUP($S$346,'TAR FIN'!$A$1:$O$88,15,0))</f>
        <v>0</v>
      </c>
      <c r="W346" s="4">
        <f>IF(ISERROR(VLOOKUP($T$346,'TAR FIN'!$A$1:$O$88,15,0)),0,VLOOKUP($T$346,'TAR FIN'!$A$1:$O$88,15,0))</f>
        <v>306.19</v>
      </c>
      <c r="X346" s="4">
        <f>IF(ISERROR(VLOOKUP($U$346,'TAR FIN'!$A$1:$O$88,15,0)),0,VLOOKUP($U$346,'TAR FIN'!$A$1:$O$88,15,0))</f>
        <v>242.35</v>
      </c>
      <c r="Y346" s="4"/>
      <c r="Z346" s="4">
        <f ca="1">('TUSD BE'!$AM$48+'TUSD BF'!$AM$48+'TUSD CVA'!$AM$48)*1</f>
        <v>448.02163143730991</v>
      </c>
      <c r="AA346" s="4">
        <f>('TE BE'!$AB$38+'TE BF'!$AB$38+'TE CVA'!$AB$38)*1</f>
        <v>191.00751406315655</v>
      </c>
      <c r="AB346" s="4">
        <f>$K$346*$V$346</f>
        <v>0</v>
      </c>
      <c r="AC346" s="4">
        <f>$M$346*$W$346</f>
        <v>11932.2243</v>
      </c>
      <c r="AD346" s="4">
        <f>$O$346*$X$346</f>
        <v>9444.3794999999991</v>
      </c>
      <c r="AE346" s="4">
        <f>$K$346*$Y$346</f>
        <v>0</v>
      </c>
      <c r="AF346" s="4">
        <f ca="1">$M$346*$Z$346</f>
        <v>17459.402977111968</v>
      </c>
      <c r="AG346" s="4">
        <f>$O$346*$AA$346</f>
        <v>7443.5628230412103</v>
      </c>
    </row>
    <row r="347" spans="1:33" ht="11.25" customHeight="1" x14ac:dyDescent="0.3">
      <c r="A347" s="3" t="s">
        <v>28</v>
      </c>
      <c r="B347" s="3" t="s">
        <v>33</v>
      </c>
      <c r="C347" s="3" t="s">
        <v>23</v>
      </c>
      <c r="D347" s="3" t="s">
        <v>34</v>
      </c>
      <c r="E347" s="3" t="s">
        <v>25</v>
      </c>
      <c r="F347" s="3" t="s">
        <v>25</v>
      </c>
      <c r="G347" s="3" t="s">
        <v>25</v>
      </c>
      <c r="H347" s="3" t="s">
        <v>25</v>
      </c>
      <c r="I347" s="6">
        <v>44652</v>
      </c>
      <c r="J347" s="4">
        <v>0</v>
      </c>
      <c r="K347" s="4">
        <v>0</v>
      </c>
      <c r="L347" s="4">
        <v>2.38</v>
      </c>
      <c r="M347" s="4">
        <v>2.38</v>
      </c>
      <c r="N347" s="4">
        <v>2.38</v>
      </c>
      <c r="O347" s="4">
        <v>2.38</v>
      </c>
      <c r="P347" s="4">
        <v>3</v>
      </c>
      <c r="Q347" s="3" t="s">
        <v>26</v>
      </c>
      <c r="R347" s="3">
        <v>0</v>
      </c>
      <c r="S347" s="4">
        <v>0</v>
      </c>
      <c r="T347" s="4">
        <v>46</v>
      </c>
      <c r="U347" s="4">
        <v>84</v>
      </c>
      <c r="V347" s="4">
        <f>IF(ISERROR(VLOOKUP($S$347,'TAR FIN'!$A$1:$O$88,15,0)),0,VLOOKUP($S$347,'TAR FIN'!$A$1:$O$88,15,0))</f>
        <v>0</v>
      </c>
      <c r="W347" s="4">
        <f>IF(ISERROR(VLOOKUP($T$347,'TAR FIN'!$A$1:$O$88,15,0)),0,VLOOKUP($T$347,'TAR FIN'!$A$1:$O$88,15,0))</f>
        <v>306.19</v>
      </c>
      <c r="X347" s="4">
        <f>IF(ISERROR(VLOOKUP($U$347,'TAR FIN'!$A$1:$O$88,15,0)),0,VLOOKUP($U$347,'TAR FIN'!$A$1:$O$88,15,0))</f>
        <v>242.35</v>
      </c>
      <c r="Y347" s="4"/>
      <c r="Z347" s="4">
        <f ca="1">('TUSD BE'!$AM$48+'TUSD BF'!$AM$48+'TUSD CVA'!$AM$48)*1</f>
        <v>448.02163143730991</v>
      </c>
      <c r="AA347" s="4">
        <f>('TE BE'!$AB$38+'TE BF'!$AB$38+'TE CVA'!$AB$38)*1</f>
        <v>191.00751406315655</v>
      </c>
      <c r="AB347" s="4">
        <f>$K$347*$V$347</f>
        <v>0</v>
      </c>
      <c r="AC347" s="4">
        <f>$M$347*$W$347</f>
        <v>728.73219999999992</v>
      </c>
      <c r="AD347" s="4">
        <f>$O$347*$X$347</f>
        <v>576.79300000000001</v>
      </c>
      <c r="AE347" s="4">
        <f>$K$347*$Y$347</f>
        <v>0</v>
      </c>
      <c r="AF347" s="4">
        <f ca="1">$M$347*$Z$347</f>
        <v>1066.2914828207975</v>
      </c>
      <c r="AG347" s="4">
        <f>$O$347*$AA$347</f>
        <v>454.59788347031258</v>
      </c>
    </row>
    <row r="348" spans="1:33" ht="11.25" customHeight="1" x14ac:dyDescent="0.3">
      <c r="A348" s="3" t="s">
        <v>21</v>
      </c>
      <c r="B348" s="3" t="s">
        <v>33</v>
      </c>
      <c r="C348" s="3" t="s">
        <v>23</v>
      </c>
      <c r="D348" s="3" t="s">
        <v>34</v>
      </c>
      <c r="E348" s="3" t="s">
        <v>25</v>
      </c>
      <c r="F348" s="3" t="s">
        <v>25</v>
      </c>
      <c r="G348" s="3" t="s">
        <v>25</v>
      </c>
      <c r="H348" s="3" t="s">
        <v>25</v>
      </c>
      <c r="I348" s="6">
        <v>44682</v>
      </c>
      <c r="J348" s="4">
        <v>0</v>
      </c>
      <c r="K348" s="4">
        <v>0</v>
      </c>
      <c r="L348" s="4">
        <v>22.984999999999999</v>
      </c>
      <c r="M348" s="4">
        <v>22.984999999999999</v>
      </c>
      <c r="N348" s="4">
        <v>22.984999999999999</v>
      </c>
      <c r="O348" s="4">
        <v>22.984999999999999</v>
      </c>
      <c r="P348" s="4">
        <v>40</v>
      </c>
      <c r="Q348" s="3" t="s">
        <v>26</v>
      </c>
      <c r="R348" s="3">
        <v>0</v>
      </c>
      <c r="S348" s="4">
        <v>0</v>
      </c>
      <c r="T348" s="4">
        <v>46</v>
      </c>
      <c r="U348" s="4">
        <v>84</v>
      </c>
      <c r="V348" s="4">
        <f>IF(ISERROR(VLOOKUP($S$348,'TAR FIN'!$A$1:$O$88,15,0)),0,VLOOKUP($S$348,'TAR FIN'!$A$1:$O$88,15,0))</f>
        <v>0</v>
      </c>
      <c r="W348" s="4">
        <f>IF(ISERROR(VLOOKUP($T$348,'TAR FIN'!$A$1:$O$88,15,0)),0,VLOOKUP($T$348,'TAR FIN'!$A$1:$O$88,15,0))</f>
        <v>306.19</v>
      </c>
      <c r="X348" s="4">
        <f>IF(ISERROR(VLOOKUP($U$348,'TAR FIN'!$A$1:$O$88,15,0)),0,VLOOKUP($U$348,'TAR FIN'!$A$1:$O$88,15,0))</f>
        <v>242.35</v>
      </c>
      <c r="Y348" s="4"/>
      <c r="Z348" s="4">
        <f ca="1">('TUSD BE'!$AM$48+'TUSD BF'!$AM$48+'TUSD CVA'!$AM$48)*1</f>
        <v>448.02163143730991</v>
      </c>
      <c r="AA348" s="4">
        <f>('TE BE'!$AB$38+'TE BF'!$AB$38+'TE CVA'!$AB$38)*1</f>
        <v>191.00751406315655</v>
      </c>
      <c r="AB348" s="4">
        <f>$K$348*$V$348</f>
        <v>0</v>
      </c>
      <c r="AC348" s="4">
        <f>$M$348*$W$348</f>
        <v>7037.7771499999999</v>
      </c>
      <c r="AD348" s="4">
        <f>$O$348*$X$348</f>
        <v>5570.4147499999999</v>
      </c>
      <c r="AE348" s="4">
        <f>$K$348*$Y$348</f>
        <v>0</v>
      </c>
      <c r="AF348" s="4">
        <f ca="1">$M$348*$Z$348</f>
        <v>10297.777198586567</v>
      </c>
      <c r="AG348" s="4">
        <f>$O$348*$AA$348</f>
        <v>4390.307710741653</v>
      </c>
    </row>
    <row r="349" spans="1:33" ht="11.25" customHeight="1" x14ac:dyDescent="0.3">
      <c r="A349" s="3" t="s">
        <v>28</v>
      </c>
      <c r="B349" s="3" t="s">
        <v>33</v>
      </c>
      <c r="C349" s="3" t="s">
        <v>23</v>
      </c>
      <c r="D349" s="3" t="s">
        <v>34</v>
      </c>
      <c r="E349" s="3" t="s">
        <v>25</v>
      </c>
      <c r="F349" s="3" t="s">
        <v>25</v>
      </c>
      <c r="G349" s="3" t="s">
        <v>25</v>
      </c>
      <c r="H349" s="3" t="s">
        <v>25</v>
      </c>
      <c r="I349" s="6">
        <v>44682</v>
      </c>
      <c r="J349" s="4">
        <v>0</v>
      </c>
      <c r="K349" s="4">
        <v>0</v>
      </c>
      <c r="L349" s="4">
        <v>2.2599999999999998</v>
      </c>
      <c r="M349" s="4">
        <v>2.2599999999999998</v>
      </c>
      <c r="N349" s="4">
        <v>2.2599999999999998</v>
      </c>
      <c r="O349" s="4">
        <v>2.2599999999999998</v>
      </c>
      <c r="P349" s="4">
        <v>3</v>
      </c>
      <c r="Q349" s="3" t="s">
        <v>26</v>
      </c>
      <c r="R349" s="3">
        <v>0</v>
      </c>
      <c r="S349" s="4">
        <v>0</v>
      </c>
      <c r="T349" s="4">
        <v>46</v>
      </c>
      <c r="U349" s="4">
        <v>84</v>
      </c>
      <c r="V349" s="4">
        <f>IF(ISERROR(VLOOKUP($S$349,'TAR FIN'!$A$1:$O$88,15,0)),0,VLOOKUP($S$349,'TAR FIN'!$A$1:$O$88,15,0))</f>
        <v>0</v>
      </c>
      <c r="W349" s="4">
        <f>IF(ISERROR(VLOOKUP($T$349,'TAR FIN'!$A$1:$O$88,15,0)),0,VLOOKUP($T$349,'TAR FIN'!$A$1:$O$88,15,0))</f>
        <v>306.19</v>
      </c>
      <c r="X349" s="4">
        <f>IF(ISERROR(VLOOKUP($U$349,'TAR FIN'!$A$1:$O$88,15,0)),0,VLOOKUP($U$349,'TAR FIN'!$A$1:$O$88,15,0))</f>
        <v>242.35</v>
      </c>
      <c r="Y349" s="4"/>
      <c r="Z349" s="4">
        <f ca="1">('TUSD BE'!$AM$48+'TUSD BF'!$AM$48+'TUSD CVA'!$AM$48)*1</f>
        <v>448.02163143730991</v>
      </c>
      <c r="AA349" s="4">
        <f>('TE BE'!$AB$38+'TE BF'!$AB$38+'TE CVA'!$AB$38)*1</f>
        <v>191.00751406315655</v>
      </c>
      <c r="AB349" s="4">
        <f>$K$349*$V$349</f>
        <v>0</v>
      </c>
      <c r="AC349" s="4">
        <f>$M$349*$W$349</f>
        <v>691.98939999999993</v>
      </c>
      <c r="AD349" s="4">
        <f>$O$349*$X$349</f>
        <v>547.7109999999999</v>
      </c>
      <c r="AE349" s="4">
        <f>$K$349*$Y$349</f>
        <v>0</v>
      </c>
      <c r="AF349" s="4">
        <f ca="1">$M$349*$Z$349</f>
        <v>1012.5288870483203</v>
      </c>
      <c r="AG349" s="4">
        <f>$O$349*$AA$349</f>
        <v>431.67698178273378</v>
      </c>
    </row>
    <row r="350" spans="1:33" ht="11.25" customHeight="1" x14ac:dyDescent="0.3">
      <c r="A350" s="3" t="s">
        <v>21</v>
      </c>
      <c r="B350" s="3" t="s">
        <v>33</v>
      </c>
      <c r="C350" s="3" t="s">
        <v>23</v>
      </c>
      <c r="D350" s="3" t="s">
        <v>34</v>
      </c>
      <c r="E350" s="3" t="s">
        <v>25</v>
      </c>
      <c r="F350" s="3" t="s">
        <v>25</v>
      </c>
      <c r="G350" s="3" t="s">
        <v>25</v>
      </c>
      <c r="H350" s="3" t="s">
        <v>25</v>
      </c>
      <c r="I350" s="6">
        <v>44713</v>
      </c>
      <c r="J350" s="4">
        <v>0</v>
      </c>
      <c r="K350" s="4">
        <v>0</v>
      </c>
      <c r="L350" s="4">
        <v>24.045000000000002</v>
      </c>
      <c r="M350" s="4">
        <v>24.045000000000002</v>
      </c>
      <c r="N350" s="4">
        <v>24.045000000000002</v>
      </c>
      <c r="O350" s="4">
        <v>24.045000000000002</v>
      </c>
      <c r="P350" s="4">
        <v>41</v>
      </c>
      <c r="Q350" s="3" t="s">
        <v>26</v>
      </c>
      <c r="R350" s="3">
        <v>0</v>
      </c>
      <c r="S350" s="4">
        <v>0</v>
      </c>
      <c r="T350" s="4">
        <v>46</v>
      </c>
      <c r="U350" s="4">
        <v>84</v>
      </c>
      <c r="V350" s="4">
        <f>IF(ISERROR(VLOOKUP($S$350,'TAR FIN'!$A$1:$O$88,15,0)),0,VLOOKUP($S$350,'TAR FIN'!$A$1:$O$88,15,0))</f>
        <v>0</v>
      </c>
      <c r="W350" s="4">
        <f>IF(ISERROR(VLOOKUP($T$350,'TAR FIN'!$A$1:$O$88,15,0)),0,VLOOKUP($T$350,'TAR FIN'!$A$1:$O$88,15,0))</f>
        <v>306.19</v>
      </c>
      <c r="X350" s="4">
        <f>IF(ISERROR(VLOOKUP($U$350,'TAR FIN'!$A$1:$O$88,15,0)),0,VLOOKUP($U$350,'TAR FIN'!$A$1:$O$88,15,0))</f>
        <v>242.35</v>
      </c>
      <c r="Y350" s="4"/>
      <c r="Z350" s="4">
        <f ca="1">('TUSD BE'!$AM$48+'TUSD BF'!$AM$48+'TUSD CVA'!$AM$48)*1</f>
        <v>448.02163143730991</v>
      </c>
      <c r="AA350" s="4">
        <f>('TE BE'!$AB$38+'TE BF'!$AB$38+'TE CVA'!$AB$38)*1</f>
        <v>191.00751406315655</v>
      </c>
      <c r="AB350" s="4">
        <f>$K$350*$V$350</f>
        <v>0</v>
      </c>
      <c r="AC350" s="4">
        <f>$M$350*$W$350</f>
        <v>7362.3385500000004</v>
      </c>
      <c r="AD350" s="4">
        <f>$O$350*$X$350</f>
        <v>5827.3057500000004</v>
      </c>
      <c r="AE350" s="4">
        <f>$K$350*$Y$350</f>
        <v>0</v>
      </c>
      <c r="AF350" s="4">
        <f ca="1">$M$350*$Z$350</f>
        <v>10772.680127910118</v>
      </c>
      <c r="AG350" s="4">
        <f>$O$350*$AA$350</f>
        <v>4592.7756756485996</v>
      </c>
    </row>
    <row r="351" spans="1:33" ht="11.25" customHeight="1" x14ac:dyDescent="0.3">
      <c r="A351" s="3" t="s">
        <v>28</v>
      </c>
      <c r="B351" s="3" t="s">
        <v>33</v>
      </c>
      <c r="C351" s="3" t="s">
        <v>23</v>
      </c>
      <c r="D351" s="3" t="s">
        <v>34</v>
      </c>
      <c r="E351" s="3" t="s">
        <v>25</v>
      </c>
      <c r="F351" s="3" t="s">
        <v>25</v>
      </c>
      <c r="G351" s="3" t="s">
        <v>25</v>
      </c>
      <c r="H351" s="3" t="s">
        <v>25</v>
      </c>
      <c r="I351" s="6">
        <v>44713</v>
      </c>
      <c r="J351" s="4">
        <v>0</v>
      </c>
      <c r="K351" s="4">
        <v>0</v>
      </c>
      <c r="L351" s="4">
        <v>2.9260000000000002</v>
      </c>
      <c r="M351" s="4">
        <v>2.9260000000000002</v>
      </c>
      <c r="N351" s="4">
        <v>2.9260000000000002</v>
      </c>
      <c r="O351" s="4">
        <v>2.9260000000000002</v>
      </c>
      <c r="P351" s="4">
        <v>3</v>
      </c>
      <c r="Q351" s="3" t="s">
        <v>26</v>
      </c>
      <c r="R351" s="3">
        <v>0</v>
      </c>
      <c r="S351" s="4">
        <v>0</v>
      </c>
      <c r="T351" s="4">
        <v>46</v>
      </c>
      <c r="U351" s="4">
        <v>84</v>
      </c>
      <c r="V351" s="4">
        <f>IF(ISERROR(VLOOKUP($S$351,'TAR FIN'!$A$1:$O$88,15,0)),0,VLOOKUP($S$351,'TAR FIN'!$A$1:$O$88,15,0))</f>
        <v>0</v>
      </c>
      <c r="W351" s="4">
        <f>IF(ISERROR(VLOOKUP($T$351,'TAR FIN'!$A$1:$O$88,15,0)),0,VLOOKUP($T$351,'TAR FIN'!$A$1:$O$88,15,0))</f>
        <v>306.19</v>
      </c>
      <c r="X351" s="4">
        <f>IF(ISERROR(VLOOKUP($U$351,'TAR FIN'!$A$1:$O$88,15,0)),0,VLOOKUP($U$351,'TAR FIN'!$A$1:$O$88,15,0))</f>
        <v>242.35</v>
      </c>
      <c r="Y351" s="4"/>
      <c r="Z351" s="4">
        <f ca="1">('TUSD BE'!$AM$48+'TUSD BF'!$AM$48+'TUSD CVA'!$AM$48)*1</f>
        <v>448.02163143730991</v>
      </c>
      <c r="AA351" s="4">
        <f>('TE BE'!$AB$38+'TE BF'!$AB$38+'TE CVA'!$AB$38)*1</f>
        <v>191.00751406315655</v>
      </c>
      <c r="AB351" s="4">
        <f>$K$351*$V$351</f>
        <v>0</v>
      </c>
      <c r="AC351" s="4">
        <f>$M$351*$W$351</f>
        <v>895.91194000000007</v>
      </c>
      <c r="AD351" s="4">
        <f>$O$351*$X$351</f>
        <v>709.11610000000007</v>
      </c>
      <c r="AE351" s="4">
        <f>$K$351*$Y$351</f>
        <v>0</v>
      </c>
      <c r="AF351" s="4">
        <f ca="1">$M$351*$Z$351</f>
        <v>1310.911293585569</v>
      </c>
      <c r="AG351" s="4">
        <f>$O$351*$AA$351</f>
        <v>558.88798614879613</v>
      </c>
    </row>
    <row r="352" spans="1:33" ht="11.25" customHeight="1" x14ac:dyDescent="0.3">
      <c r="A352" s="3" t="s">
        <v>21</v>
      </c>
      <c r="B352" s="3" t="s">
        <v>33</v>
      </c>
      <c r="C352" s="3" t="s">
        <v>23</v>
      </c>
      <c r="D352" s="3" t="s">
        <v>34</v>
      </c>
      <c r="E352" s="3" t="s">
        <v>25</v>
      </c>
      <c r="F352" s="3" t="s">
        <v>25</v>
      </c>
      <c r="G352" s="3" t="s">
        <v>25</v>
      </c>
      <c r="H352" s="3" t="s">
        <v>25</v>
      </c>
      <c r="I352" s="6">
        <v>44743</v>
      </c>
      <c r="J352" s="4">
        <v>0</v>
      </c>
      <c r="K352" s="4">
        <v>0</v>
      </c>
      <c r="L352" s="4">
        <v>23.27</v>
      </c>
      <c r="M352" s="4">
        <v>23.27</v>
      </c>
      <c r="N352" s="4">
        <v>23.27</v>
      </c>
      <c r="O352" s="4">
        <v>23.27</v>
      </c>
      <c r="P352" s="4">
        <v>42</v>
      </c>
      <c r="Q352" s="3" t="s">
        <v>26</v>
      </c>
      <c r="R352" s="3">
        <v>0</v>
      </c>
      <c r="S352" s="4">
        <v>0</v>
      </c>
      <c r="T352" s="4">
        <v>46</v>
      </c>
      <c r="U352" s="4">
        <v>84</v>
      </c>
      <c r="V352" s="4">
        <f>IF(ISERROR(VLOOKUP($S$352,'TAR FIN'!$A$1:$O$88,15,0)),0,VLOOKUP($S$352,'TAR FIN'!$A$1:$O$88,15,0))</f>
        <v>0</v>
      </c>
      <c r="W352" s="4">
        <f>IF(ISERROR(VLOOKUP($T$352,'TAR FIN'!$A$1:$O$88,15,0)),0,VLOOKUP($T$352,'TAR FIN'!$A$1:$O$88,15,0))</f>
        <v>306.19</v>
      </c>
      <c r="X352" s="4">
        <f>IF(ISERROR(VLOOKUP($U$352,'TAR FIN'!$A$1:$O$88,15,0)),0,VLOOKUP($U$352,'TAR FIN'!$A$1:$O$88,15,0))</f>
        <v>242.35</v>
      </c>
      <c r="Y352" s="4"/>
      <c r="Z352" s="4">
        <f ca="1">('TUSD BE'!$AM$48+'TUSD BF'!$AM$48+'TUSD CVA'!$AM$48)*1</f>
        <v>448.02163143730991</v>
      </c>
      <c r="AA352" s="4">
        <f>('TE BE'!$AB$38+'TE BF'!$AB$38+'TE CVA'!$AB$38)*1</f>
        <v>191.00751406315655</v>
      </c>
      <c r="AB352" s="4">
        <f>$K$352*$V$352</f>
        <v>0</v>
      </c>
      <c r="AC352" s="4">
        <f>$M$352*$W$352</f>
        <v>7125.0412999999999</v>
      </c>
      <c r="AD352" s="4">
        <f>$O$352*$X$352</f>
        <v>5639.4844999999996</v>
      </c>
      <c r="AE352" s="4">
        <f>$K$352*$Y$352</f>
        <v>0</v>
      </c>
      <c r="AF352" s="4">
        <f ca="1">$M$352*$Z$352</f>
        <v>10425.463363546201</v>
      </c>
      <c r="AG352" s="4">
        <f>$O$352*$AA$352</f>
        <v>4444.7448522496525</v>
      </c>
    </row>
    <row r="353" spans="1:33" ht="11.25" customHeight="1" x14ac:dyDescent="0.3">
      <c r="A353" s="3" t="s">
        <v>28</v>
      </c>
      <c r="B353" s="3" t="s">
        <v>33</v>
      </c>
      <c r="C353" s="3" t="s">
        <v>23</v>
      </c>
      <c r="D353" s="3" t="s">
        <v>34</v>
      </c>
      <c r="E353" s="3" t="s">
        <v>25</v>
      </c>
      <c r="F353" s="3" t="s">
        <v>25</v>
      </c>
      <c r="G353" s="3" t="s">
        <v>25</v>
      </c>
      <c r="H353" s="3" t="s">
        <v>25</v>
      </c>
      <c r="I353" s="6">
        <v>44743</v>
      </c>
      <c r="J353" s="4">
        <v>0</v>
      </c>
      <c r="K353" s="4">
        <v>0</v>
      </c>
      <c r="L353" s="4">
        <v>2.7879999999999998</v>
      </c>
      <c r="M353" s="4">
        <v>2.7879999999999998</v>
      </c>
      <c r="N353" s="4">
        <v>2.7879999999999998</v>
      </c>
      <c r="O353" s="4">
        <v>2.7879999999999998</v>
      </c>
      <c r="P353" s="4">
        <v>3</v>
      </c>
      <c r="Q353" s="3" t="s">
        <v>26</v>
      </c>
      <c r="R353" s="3">
        <v>0</v>
      </c>
      <c r="S353" s="4">
        <v>0</v>
      </c>
      <c r="T353" s="4">
        <v>46</v>
      </c>
      <c r="U353" s="4">
        <v>84</v>
      </c>
      <c r="V353" s="4">
        <f>IF(ISERROR(VLOOKUP($S$353,'TAR FIN'!$A$1:$O$88,15,0)),0,VLOOKUP($S$353,'TAR FIN'!$A$1:$O$88,15,0))</f>
        <v>0</v>
      </c>
      <c r="W353" s="4">
        <f>IF(ISERROR(VLOOKUP($T$353,'TAR FIN'!$A$1:$O$88,15,0)),0,VLOOKUP($T$353,'TAR FIN'!$A$1:$O$88,15,0))</f>
        <v>306.19</v>
      </c>
      <c r="X353" s="4">
        <f>IF(ISERROR(VLOOKUP($U$353,'TAR FIN'!$A$1:$O$88,15,0)),0,VLOOKUP($U$353,'TAR FIN'!$A$1:$O$88,15,0))</f>
        <v>242.35</v>
      </c>
      <c r="Y353" s="4"/>
      <c r="Z353" s="4">
        <f ca="1">('TUSD BE'!$AM$48+'TUSD BF'!$AM$48+'TUSD CVA'!$AM$48)*1</f>
        <v>448.02163143730991</v>
      </c>
      <c r="AA353" s="4">
        <f>('TE BE'!$AB$38+'TE BF'!$AB$38+'TE CVA'!$AB$38)*1</f>
        <v>191.00751406315655</v>
      </c>
      <c r="AB353" s="4">
        <f>$K$353*$V$353</f>
        <v>0</v>
      </c>
      <c r="AC353" s="4">
        <f>$M$353*$W$353</f>
        <v>853.65771999999993</v>
      </c>
      <c r="AD353" s="4">
        <f>$O$353*$X$353</f>
        <v>675.67179999999996</v>
      </c>
      <c r="AE353" s="4">
        <f>$K$353*$Y$353</f>
        <v>0</v>
      </c>
      <c r="AF353" s="4">
        <f ca="1">$M$353*$Z$353</f>
        <v>1249.0843084472199</v>
      </c>
      <c r="AG353" s="4">
        <f>$O$353*$AA$353</f>
        <v>532.52894920808046</v>
      </c>
    </row>
    <row r="354" spans="1:33" ht="11.25" customHeight="1" x14ac:dyDescent="0.3">
      <c r="A354" s="3" t="s">
        <v>55</v>
      </c>
      <c r="B354" s="3" t="s">
        <v>33</v>
      </c>
      <c r="C354" s="3" t="s">
        <v>23</v>
      </c>
      <c r="D354" s="3" t="s">
        <v>34</v>
      </c>
      <c r="E354" s="3" t="s">
        <v>25</v>
      </c>
      <c r="F354" s="3" t="s">
        <v>25</v>
      </c>
      <c r="G354" s="3" t="s">
        <v>25</v>
      </c>
      <c r="H354" s="3" t="s">
        <v>25</v>
      </c>
      <c r="I354" s="6">
        <v>44774</v>
      </c>
      <c r="J354" s="4">
        <v>0</v>
      </c>
      <c r="K354" s="4">
        <v>0</v>
      </c>
      <c r="L354" s="4">
        <v>23.27</v>
      </c>
      <c r="M354" s="4">
        <v>23.27</v>
      </c>
      <c r="N354" s="4">
        <v>23.27</v>
      </c>
      <c r="O354" s="4">
        <v>23.27</v>
      </c>
      <c r="P354" s="4">
        <v>42</v>
      </c>
      <c r="Q354" s="3" t="s">
        <v>26</v>
      </c>
      <c r="R354" s="3">
        <v>0</v>
      </c>
      <c r="S354" s="4">
        <v>0</v>
      </c>
      <c r="T354" s="4">
        <v>46</v>
      </c>
      <c r="U354" s="4">
        <v>84</v>
      </c>
      <c r="V354" s="4">
        <f>IF(ISERROR(VLOOKUP($S$354,'TAR FIN'!$A$1:$O$88,15,0)),0,VLOOKUP($S$354,'TAR FIN'!$A$1:$O$88,15,0))</f>
        <v>0</v>
      </c>
      <c r="W354" s="4">
        <f>IF(ISERROR(VLOOKUP($T$354,'TAR FIN'!$A$1:$O$88,15,0)),0,VLOOKUP($T$354,'TAR FIN'!$A$1:$O$88,15,0))</f>
        <v>306.19</v>
      </c>
      <c r="X354" s="4">
        <f>IF(ISERROR(VLOOKUP($U$354,'TAR FIN'!$A$1:$O$88,15,0)),0,VLOOKUP($U$354,'TAR FIN'!$A$1:$O$88,15,0))</f>
        <v>242.35</v>
      </c>
      <c r="Y354" s="4"/>
      <c r="Z354" s="4">
        <f ca="1">('TUSD BE'!$AM$48+'TUSD BF'!$AM$48+'TUSD CVA'!$AM$48)*1</f>
        <v>448.02163143730991</v>
      </c>
      <c r="AA354" s="4">
        <f>('TE BE'!$AB$38+'TE BF'!$AB$38+'TE CVA'!$AB$38)*1</f>
        <v>191.00751406315655</v>
      </c>
      <c r="AB354" s="4">
        <f>$K$354*$V$354</f>
        <v>0</v>
      </c>
      <c r="AC354" s="4">
        <f>$M$354*$W$354</f>
        <v>7125.0412999999999</v>
      </c>
      <c r="AD354" s="4">
        <f>$O$354*$X$354</f>
        <v>5639.4844999999996</v>
      </c>
      <c r="AE354" s="4">
        <f>$K$354*$Y$354</f>
        <v>0</v>
      </c>
      <c r="AF354" s="4">
        <f ca="1">$M$354*$Z$354</f>
        <v>10425.463363546201</v>
      </c>
      <c r="AG354" s="4">
        <f>$O$354*$AA$354</f>
        <v>4444.7448522496525</v>
      </c>
    </row>
    <row r="355" spans="1:33" ht="11.25" customHeight="1" x14ac:dyDescent="0.3">
      <c r="A355" s="3" t="s">
        <v>55</v>
      </c>
      <c r="B355" s="3" t="s">
        <v>33</v>
      </c>
      <c r="C355" s="3" t="s">
        <v>23</v>
      </c>
      <c r="D355" s="3" t="s">
        <v>34</v>
      </c>
      <c r="E355" s="3" t="s">
        <v>25</v>
      </c>
      <c r="F355" s="3" t="s">
        <v>25</v>
      </c>
      <c r="G355" s="3" t="s">
        <v>25</v>
      </c>
      <c r="H355" s="3" t="s">
        <v>25</v>
      </c>
      <c r="I355" s="6">
        <v>44774</v>
      </c>
      <c r="J355" s="4">
        <v>0</v>
      </c>
      <c r="K355" s="4">
        <v>0</v>
      </c>
      <c r="L355" s="4">
        <v>2.7879999999999998</v>
      </c>
      <c r="M355" s="4">
        <v>2.7879999999999998</v>
      </c>
      <c r="N355" s="4">
        <v>2.7879999999999998</v>
      </c>
      <c r="O355" s="4">
        <v>2.7879999999999998</v>
      </c>
      <c r="P355" s="4">
        <v>3</v>
      </c>
      <c r="Q355" s="3" t="s">
        <v>26</v>
      </c>
      <c r="R355" s="3">
        <v>0</v>
      </c>
      <c r="S355" s="4">
        <v>0</v>
      </c>
      <c r="T355" s="4">
        <v>46</v>
      </c>
      <c r="U355" s="4">
        <v>84</v>
      </c>
      <c r="V355" s="4">
        <f>IF(ISERROR(VLOOKUP($S$355,'TAR FIN'!$A$1:$O$88,15,0)),0,VLOOKUP($S$355,'TAR FIN'!$A$1:$O$88,15,0))</f>
        <v>0</v>
      </c>
      <c r="W355" s="4">
        <f>IF(ISERROR(VLOOKUP($T$355,'TAR FIN'!$A$1:$O$88,15,0)),0,VLOOKUP($T$355,'TAR FIN'!$A$1:$O$88,15,0))</f>
        <v>306.19</v>
      </c>
      <c r="X355" s="4">
        <f>IF(ISERROR(VLOOKUP($U$355,'TAR FIN'!$A$1:$O$88,15,0)),0,VLOOKUP($U$355,'TAR FIN'!$A$1:$O$88,15,0))</f>
        <v>242.35</v>
      </c>
      <c r="Y355" s="4"/>
      <c r="Z355" s="4">
        <f ca="1">('TUSD BE'!$AM$48+'TUSD BF'!$AM$48+'TUSD CVA'!$AM$48)*1</f>
        <v>448.02163143730991</v>
      </c>
      <c r="AA355" s="4">
        <f>('TE BE'!$AB$38+'TE BF'!$AB$38+'TE CVA'!$AB$38)*1</f>
        <v>191.00751406315655</v>
      </c>
      <c r="AB355" s="4">
        <f>$K$355*$V$355</f>
        <v>0</v>
      </c>
      <c r="AC355" s="4">
        <f>$M$355*$W$355</f>
        <v>853.65771999999993</v>
      </c>
      <c r="AD355" s="4">
        <f>$O$355*$X$355</f>
        <v>675.67179999999996</v>
      </c>
      <c r="AE355" s="4">
        <f>$K$355*$Y$355</f>
        <v>0</v>
      </c>
      <c r="AF355" s="4">
        <f ca="1">$M$355*$Z$355</f>
        <v>1249.0843084472199</v>
      </c>
      <c r="AG355" s="4">
        <f>$O$355*$AA$355</f>
        <v>532.52894920808046</v>
      </c>
    </row>
    <row r="356" spans="1:33" ht="11.25" customHeight="1" x14ac:dyDescent="0.3">
      <c r="A356" s="3" t="s">
        <v>21</v>
      </c>
      <c r="B356" s="3" t="s">
        <v>33</v>
      </c>
      <c r="C356" s="3" t="s">
        <v>23</v>
      </c>
      <c r="D356" s="3" t="s">
        <v>44</v>
      </c>
      <c r="E356" s="3" t="s">
        <v>25</v>
      </c>
      <c r="F356" s="3" t="s">
        <v>25</v>
      </c>
      <c r="G356" s="3" t="s">
        <v>25</v>
      </c>
      <c r="H356" s="3" t="s">
        <v>25</v>
      </c>
      <c r="I356" s="6">
        <v>44440</v>
      </c>
      <c r="J356" s="4">
        <v>0</v>
      </c>
      <c r="K356" s="4">
        <v>0</v>
      </c>
      <c r="L356" s="4">
        <v>22.029</v>
      </c>
      <c r="M356" s="4">
        <v>22.029</v>
      </c>
      <c r="N356" s="4">
        <v>22.029</v>
      </c>
      <c r="O356" s="4">
        <v>22.029</v>
      </c>
      <c r="P356" s="4">
        <v>48</v>
      </c>
      <c r="Q356" s="3" t="s">
        <v>26</v>
      </c>
      <c r="R356" s="3">
        <v>0</v>
      </c>
      <c r="S356" s="4">
        <v>0</v>
      </c>
      <c r="T356" s="4">
        <v>46</v>
      </c>
      <c r="U356" s="4">
        <v>84</v>
      </c>
      <c r="V356" s="4">
        <f>IF(ISERROR(VLOOKUP($S$356,'TAR FIN'!$A$1:$O$88,15,0)),0,VLOOKUP($S$356,'TAR FIN'!$A$1:$O$88,15,0))</f>
        <v>0</v>
      </c>
      <c r="W356" s="4">
        <f>IF(ISERROR(VLOOKUP($T$356,'TAR FIN'!$A$1:$O$88,15,0)),0,VLOOKUP($T$356,'TAR FIN'!$A$1:$O$88,15,0))</f>
        <v>306.19</v>
      </c>
      <c r="X356" s="4">
        <f>IF(ISERROR(VLOOKUP($U$356,'TAR FIN'!$A$1:$O$88,15,0)),0,VLOOKUP($U$356,'TAR FIN'!$A$1:$O$88,15,0))</f>
        <v>242.35</v>
      </c>
      <c r="Y356" s="4"/>
      <c r="Z356" s="4">
        <f ca="1">('TUSD BE'!$AM$48+'TUSD BF'!$AM$48+'TUSD CVA'!$AM$48)*1</f>
        <v>448.02163143730991</v>
      </c>
      <c r="AA356" s="4">
        <f>('TE BE'!$AB$38+'TE BF'!$AB$38+'TE CVA'!$AB$38)*1</f>
        <v>191.00751406315655</v>
      </c>
      <c r="AB356" s="4">
        <f>$K$356*$V$356</f>
        <v>0</v>
      </c>
      <c r="AC356" s="4">
        <f>$M$356*$W$356</f>
        <v>6745.05951</v>
      </c>
      <c r="AD356" s="4">
        <f>$O$356*$X$356</f>
        <v>5338.7281499999999</v>
      </c>
      <c r="AE356" s="4">
        <f>$K$356*$Y$356</f>
        <v>0</v>
      </c>
      <c r="AF356" s="4">
        <f ca="1">$M$356*$Z$356</f>
        <v>9869.4685189324991</v>
      </c>
      <c r="AG356" s="4">
        <f>$O$356*$AA$356</f>
        <v>4207.7045272972755</v>
      </c>
    </row>
    <row r="357" spans="1:33" ht="11.25" customHeight="1" x14ac:dyDescent="0.3">
      <c r="A357" s="3" t="s">
        <v>21</v>
      </c>
      <c r="B357" s="3" t="s">
        <v>33</v>
      </c>
      <c r="C357" s="3" t="s">
        <v>23</v>
      </c>
      <c r="D357" s="3" t="s">
        <v>44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44470</v>
      </c>
      <c r="J357" s="4">
        <v>0</v>
      </c>
      <c r="K357" s="4">
        <v>0</v>
      </c>
      <c r="L357" s="4">
        <v>25.126999999999999</v>
      </c>
      <c r="M357" s="4">
        <v>25.126999999999999</v>
      </c>
      <c r="N357" s="4">
        <v>25.126999999999999</v>
      </c>
      <c r="O357" s="4">
        <v>25.126999999999999</v>
      </c>
      <c r="P357" s="4">
        <v>48</v>
      </c>
      <c r="Q357" s="3" t="s">
        <v>26</v>
      </c>
      <c r="R357" s="3">
        <v>0</v>
      </c>
      <c r="S357" s="4">
        <v>0</v>
      </c>
      <c r="T357" s="4">
        <v>46</v>
      </c>
      <c r="U357" s="4">
        <v>84</v>
      </c>
      <c r="V357" s="4">
        <f>IF(ISERROR(VLOOKUP($S$357,'TAR FIN'!$A$1:$O$88,15,0)),0,VLOOKUP($S$357,'TAR FIN'!$A$1:$O$88,15,0))</f>
        <v>0</v>
      </c>
      <c r="W357" s="4">
        <f>IF(ISERROR(VLOOKUP($T$357,'TAR FIN'!$A$1:$O$88,15,0)),0,VLOOKUP($T$357,'TAR FIN'!$A$1:$O$88,15,0))</f>
        <v>306.19</v>
      </c>
      <c r="X357" s="4">
        <f>IF(ISERROR(VLOOKUP($U$357,'TAR FIN'!$A$1:$O$88,15,0)),0,VLOOKUP($U$357,'TAR FIN'!$A$1:$O$88,15,0))</f>
        <v>242.35</v>
      </c>
      <c r="Y357" s="4"/>
      <c r="Z357" s="4">
        <f ca="1">('TUSD BE'!$AM$48+'TUSD BF'!$AM$48+'TUSD CVA'!$AM$48)*1</f>
        <v>448.02163143730991</v>
      </c>
      <c r="AA357" s="4">
        <f>('TE BE'!$AB$38+'TE BF'!$AB$38+'TE CVA'!$AB$38)*1</f>
        <v>191.00751406315655</v>
      </c>
      <c r="AB357" s="4">
        <f>$K$357*$V$357</f>
        <v>0</v>
      </c>
      <c r="AC357" s="4">
        <f>$M$357*$W$357</f>
        <v>7693.6361299999999</v>
      </c>
      <c r="AD357" s="4">
        <f>$O$357*$X$357</f>
        <v>6089.5284499999998</v>
      </c>
      <c r="AE357" s="4">
        <f>$K$357*$Y$357</f>
        <v>0</v>
      </c>
      <c r="AF357" s="4">
        <f ca="1">$M$357*$Z$357</f>
        <v>11257.439533125285</v>
      </c>
      <c r="AG357" s="4">
        <f>$O$357*$AA$357</f>
        <v>4799.4458058649343</v>
      </c>
    </row>
    <row r="358" spans="1:33" ht="11.25" customHeight="1" x14ac:dyDescent="0.3">
      <c r="A358" s="3" t="s">
        <v>21</v>
      </c>
      <c r="B358" s="3" t="s">
        <v>33</v>
      </c>
      <c r="C358" s="3" t="s">
        <v>23</v>
      </c>
      <c r="D358" s="3" t="s">
        <v>44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44501</v>
      </c>
      <c r="J358" s="4">
        <v>0</v>
      </c>
      <c r="K358" s="4">
        <v>0</v>
      </c>
      <c r="L358" s="4">
        <v>27.48</v>
      </c>
      <c r="M358" s="4">
        <v>27.48</v>
      </c>
      <c r="N358" s="4">
        <v>27.48</v>
      </c>
      <c r="O358" s="4">
        <v>27.48</v>
      </c>
      <c r="P358" s="4">
        <v>48</v>
      </c>
      <c r="Q358" s="3" t="s">
        <v>26</v>
      </c>
      <c r="R358" s="3">
        <v>0</v>
      </c>
      <c r="S358" s="4">
        <v>0</v>
      </c>
      <c r="T358" s="4">
        <v>46</v>
      </c>
      <c r="U358" s="4">
        <v>84</v>
      </c>
      <c r="V358" s="4">
        <f>IF(ISERROR(VLOOKUP($S$358,'TAR FIN'!$A$1:$O$88,15,0)),0,VLOOKUP($S$358,'TAR FIN'!$A$1:$O$88,15,0))</f>
        <v>0</v>
      </c>
      <c r="W358" s="4">
        <f>IF(ISERROR(VLOOKUP($T$358,'TAR FIN'!$A$1:$O$88,15,0)),0,VLOOKUP($T$358,'TAR FIN'!$A$1:$O$88,15,0))</f>
        <v>306.19</v>
      </c>
      <c r="X358" s="4">
        <f>IF(ISERROR(VLOOKUP($U$358,'TAR FIN'!$A$1:$O$88,15,0)),0,VLOOKUP($U$358,'TAR FIN'!$A$1:$O$88,15,0))</f>
        <v>242.35</v>
      </c>
      <c r="Y358" s="4"/>
      <c r="Z358" s="4">
        <f ca="1">('TUSD BE'!$AM$48+'TUSD BF'!$AM$48+'TUSD CVA'!$AM$48)*1</f>
        <v>448.02163143730991</v>
      </c>
      <c r="AA358" s="4">
        <f>('TE BE'!$AB$38+'TE BF'!$AB$38+'TE CVA'!$AB$38)*1</f>
        <v>191.00751406315655</v>
      </c>
      <c r="AB358" s="4">
        <f>$K$358*$V$358</f>
        <v>0</v>
      </c>
      <c r="AC358" s="4">
        <f>$M$358*$W$358</f>
        <v>8414.101200000001</v>
      </c>
      <c r="AD358" s="4">
        <f>$O$358*$X$358</f>
        <v>6659.7780000000002</v>
      </c>
      <c r="AE358" s="4">
        <f>$K$358*$Y$358</f>
        <v>0</v>
      </c>
      <c r="AF358" s="4">
        <f ca="1">$M$358*$Z$358</f>
        <v>12311.634431897277</v>
      </c>
      <c r="AG358" s="4">
        <f>$O$358*$AA$358</f>
        <v>5248.8864864555417</v>
      </c>
    </row>
    <row r="359" spans="1:33" ht="11.25" customHeight="1" x14ac:dyDescent="0.3">
      <c r="A359" s="3" t="s">
        <v>21</v>
      </c>
      <c r="B359" s="3" t="s">
        <v>33</v>
      </c>
      <c r="C359" s="3" t="s">
        <v>23</v>
      </c>
      <c r="D359" s="3" t="s">
        <v>44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44531</v>
      </c>
      <c r="J359" s="4">
        <v>0</v>
      </c>
      <c r="K359" s="4">
        <v>0</v>
      </c>
      <c r="L359" s="4">
        <v>33.453000000000003</v>
      </c>
      <c r="M359" s="4">
        <v>33.453000000000003</v>
      </c>
      <c r="N359" s="4">
        <v>33.453000000000003</v>
      </c>
      <c r="O359" s="4">
        <v>33.453000000000003</v>
      </c>
      <c r="P359" s="4">
        <v>48</v>
      </c>
      <c r="Q359" s="3" t="s">
        <v>26</v>
      </c>
      <c r="R359" s="3">
        <v>0</v>
      </c>
      <c r="S359" s="4">
        <v>0</v>
      </c>
      <c r="T359" s="4">
        <v>46</v>
      </c>
      <c r="U359" s="4">
        <v>84</v>
      </c>
      <c r="V359" s="4">
        <f>IF(ISERROR(VLOOKUP($S$359,'TAR FIN'!$A$1:$O$88,15,0)),0,VLOOKUP($S$359,'TAR FIN'!$A$1:$O$88,15,0))</f>
        <v>0</v>
      </c>
      <c r="W359" s="4">
        <f>IF(ISERROR(VLOOKUP($T$359,'TAR FIN'!$A$1:$O$88,15,0)),0,VLOOKUP($T$359,'TAR FIN'!$A$1:$O$88,15,0))</f>
        <v>306.19</v>
      </c>
      <c r="X359" s="4">
        <f>IF(ISERROR(VLOOKUP($U$359,'TAR FIN'!$A$1:$O$88,15,0)),0,VLOOKUP($U$359,'TAR FIN'!$A$1:$O$88,15,0))</f>
        <v>242.35</v>
      </c>
      <c r="Y359" s="4"/>
      <c r="Z359" s="4">
        <f ca="1">('TUSD BE'!$AM$48+'TUSD BF'!$AM$48+'TUSD CVA'!$AM$48)*1</f>
        <v>448.02163143730991</v>
      </c>
      <c r="AA359" s="4">
        <f>('TE BE'!$AB$38+'TE BF'!$AB$38+'TE CVA'!$AB$38)*1</f>
        <v>191.00751406315655</v>
      </c>
      <c r="AB359" s="4">
        <f>$K$359*$V$359</f>
        <v>0</v>
      </c>
      <c r="AC359" s="4">
        <f>$M$359*$W$359</f>
        <v>10242.97407</v>
      </c>
      <c r="AD359" s="4">
        <f>$O$359*$X$359</f>
        <v>8107.3345500000005</v>
      </c>
      <c r="AE359" s="4">
        <f>$K$359*$Y$359</f>
        <v>0</v>
      </c>
      <c r="AF359" s="4">
        <f ca="1">$M$359*$Z$359</f>
        <v>14987.66763647233</v>
      </c>
      <c r="AG359" s="4">
        <f>$O$359*$AA$359</f>
        <v>6389.7743679547766</v>
      </c>
    </row>
    <row r="360" spans="1:33" ht="11.25" customHeight="1" x14ac:dyDescent="0.3">
      <c r="A360" s="3" t="s">
        <v>21</v>
      </c>
      <c r="B360" s="3" t="s">
        <v>33</v>
      </c>
      <c r="C360" s="3" t="s">
        <v>23</v>
      </c>
      <c r="D360" s="3" t="s">
        <v>44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44562</v>
      </c>
      <c r="J360" s="4">
        <v>0</v>
      </c>
      <c r="K360" s="4">
        <v>0</v>
      </c>
      <c r="L360" s="4">
        <v>23.474</v>
      </c>
      <c r="M360" s="4">
        <v>23.474</v>
      </c>
      <c r="N360" s="4">
        <v>23.474</v>
      </c>
      <c r="O360" s="4">
        <v>23.474</v>
      </c>
      <c r="P360" s="4">
        <v>48</v>
      </c>
      <c r="Q360" s="3" t="s">
        <v>26</v>
      </c>
      <c r="R360" s="3">
        <v>0</v>
      </c>
      <c r="S360" s="4">
        <v>0</v>
      </c>
      <c r="T360" s="4">
        <v>46</v>
      </c>
      <c r="U360" s="4">
        <v>84</v>
      </c>
      <c r="V360" s="4">
        <f>IF(ISERROR(VLOOKUP($S$360,'TAR FIN'!$A$1:$O$88,15,0)),0,VLOOKUP($S$360,'TAR FIN'!$A$1:$O$88,15,0))</f>
        <v>0</v>
      </c>
      <c r="W360" s="4">
        <f>IF(ISERROR(VLOOKUP($T$360,'TAR FIN'!$A$1:$O$88,15,0)),0,VLOOKUP($T$360,'TAR FIN'!$A$1:$O$88,15,0))</f>
        <v>306.19</v>
      </c>
      <c r="X360" s="4">
        <f>IF(ISERROR(VLOOKUP($U$360,'TAR FIN'!$A$1:$O$88,15,0)),0,VLOOKUP($U$360,'TAR FIN'!$A$1:$O$88,15,0))</f>
        <v>242.35</v>
      </c>
      <c r="Y360" s="4"/>
      <c r="Z360" s="4">
        <f ca="1">('TUSD BE'!$AM$48+'TUSD BF'!$AM$48+'TUSD CVA'!$AM$48)*1</f>
        <v>448.02163143730991</v>
      </c>
      <c r="AA360" s="4">
        <f>('TE BE'!$AB$38+'TE BF'!$AB$38+'TE CVA'!$AB$38)*1</f>
        <v>191.00751406315655</v>
      </c>
      <c r="AB360" s="4">
        <f>$K$360*$V$360</f>
        <v>0</v>
      </c>
      <c r="AC360" s="4">
        <f>$M$360*$W$360</f>
        <v>7187.5040600000002</v>
      </c>
      <c r="AD360" s="4">
        <f>$O$360*$X$360</f>
        <v>5688.9238999999998</v>
      </c>
      <c r="AE360" s="4">
        <f>$K$360*$Y$360</f>
        <v>0</v>
      </c>
      <c r="AF360" s="4">
        <f ca="1">$M$360*$Z$360</f>
        <v>10516.859776359413</v>
      </c>
      <c r="AG360" s="4">
        <f>$O$360*$AA$360</f>
        <v>4483.7103851185366</v>
      </c>
    </row>
    <row r="361" spans="1:33" ht="11.25" customHeight="1" x14ac:dyDescent="0.3">
      <c r="A361" s="3" t="s">
        <v>21</v>
      </c>
      <c r="B361" s="3" t="s">
        <v>33</v>
      </c>
      <c r="C361" s="3" t="s">
        <v>23</v>
      </c>
      <c r="D361" s="3" t="s">
        <v>44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44593</v>
      </c>
      <c r="J361" s="4">
        <v>0</v>
      </c>
      <c r="K361" s="4">
        <v>0</v>
      </c>
      <c r="L361" s="4">
        <v>35.281999999999996</v>
      </c>
      <c r="M361" s="4">
        <v>35.281999999999996</v>
      </c>
      <c r="N361" s="4">
        <v>35.281999999999996</v>
      </c>
      <c r="O361" s="4">
        <v>35.281999999999996</v>
      </c>
      <c r="P361" s="4">
        <v>48</v>
      </c>
      <c r="Q361" s="3" t="s">
        <v>26</v>
      </c>
      <c r="R361" s="3">
        <v>0</v>
      </c>
      <c r="S361" s="4">
        <v>0</v>
      </c>
      <c r="T361" s="4">
        <v>46</v>
      </c>
      <c r="U361" s="4">
        <v>84</v>
      </c>
      <c r="V361" s="4">
        <f>IF(ISERROR(VLOOKUP($S$361,'TAR FIN'!$A$1:$O$88,15,0)),0,VLOOKUP($S$361,'TAR FIN'!$A$1:$O$88,15,0))</f>
        <v>0</v>
      </c>
      <c r="W361" s="4">
        <f>IF(ISERROR(VLOOKUP($T$361,'TAR FIN'!$A$1:$O$88,15,0)),0,VLOOKUP($T$361,'TAR FIN'!$A$1:$O$88,15,0))</f>
        <v>306.19</v>
      </c>
      <c r="X361" s="4">
        <f>IF(ISERROR(VLOOKUP($U$361,'TAR FIN'!$A$1:$O$88,15,0)),0,VLOOKUP($U$361,'TAR FIN'!$A$1:$O$88,15,0))</f>
        <v>242.35</v>
      </c>
      <c r="Y361" s="4"/>
      <c r="Z361" s="4">
        <f ca="1">('TUSD BE'!$AM$48+'TUSD BF'!$AM$48+'TUSD CVA'!$AM$48)*1</f>
        <v>448.02163143730991</v>
      </c>
      <c r="AA361" s="4">
        <f>('TE BE'!$AB$38+'TE BF'!$AB$38+'TE CVA'!$AB$38)*1</f>
        <v>191.00751406315655</v>
      </c>
      <c r="AB361" s="4">
        <f>$K$361*$V$361</f>
        <v>0</v>
      </c>
      <c r="AC361" s="4">
        <f>$M$361*$W$361</f>
        <v>10802.995579999999</v>
      </c>
      <c r="AD361" s="4">
        <f>$O$361*$X$361</f>
        <v>8550.5926999999992</v>
      </c>
      <c r="AE361" s="4">
        <f>$K$361*$Y$361</f>
        <v>0</v>
      </c>
      <c r="AF361" s="4">
        <f ca="1">$M$361*$Z$361</f>
        <v>15807.099200371167</v>
      </c>
      <c r="AG361" s="4">
        <f>$O$361*$AA$361</f>
        <v>6739.127111176289</v>
      </c>
    </row>
    <row r="362" spans="1:33" ht="11.25" customHeight="1" x14ac:dyDescent="0.3">
      <c r="A362" s="3" t="s">
        <v>21</v>
      </c>
      <c r="B362" s="3" t="s">
        <v>33</v>
      </c>
      <c r="C362" s="3" t="s">
        <v>23</v>
      </c>
      <c r="D362" s="3" t="s">
        <v>44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44621</v>
      </c>
      <c r="J362" s="4">
        <v>0</v>
      </c>
      <c r="K362" s="4">
        <v>0</v>
      </c>
      <c r="L362" s="4">
        <v>44.542000000000002</v>
      </c>
      <c r="M362" s="4">
        <v>44.542000000000002</v>
      </c>
      <c r="N362" s="4">
        <v>44.542000000000002</v>
      </c>
      <c r="O362" s="4">
        <v>44.542000000000002</v>
      </c>
      <c r="P362" s="4">
        <v>49</v>
      </c>
      <c r="Q362" s="3" t="s">
        <v>26</v>
      </c>
      <c r="R362" s="3">
        <v>0</v>
      </c>
      <c r="S362" s="4">
        <v>0</v>
      </c>
      <c r="T362" s="4">
        <v>46</v>
      </c>
      <c r="U362" s="4">
        <v>84</v>
      </c>
      <c r="V362" s="4">
        <f>IF(ISERROR(VLOOKUP($S$362,'TAR FIN'!$A$1:$O$88,15,0)),0,VLOOKUP($S$362,'TAR FIN'!$A$1:$O$88,15,0))</f>
        <v>0</v>
      </c>
      <c r="W362" s="4">
        <f>IF(ISERROR(VLOOKUP($T$362,'TAR FIN'!$A$1:$O$88,15,0)),0,VLOOKUP($T$362,'TAR FIN'!$A$1:$O$88,15,0))</f>
        <v>306.19</v>
      </c>
      <c r="X362" s="4">
        <f>IF(ISERROR(VLOOKUP($U$362,'TAR FIN'!$A$1:$O$88,15,0)),0,VLOOKUP($U$362,'TAR FIN'!$A$1:$O$88,15,0))</f>
        <v>242.35</v>
      </c>
      <c r="Y362" s="4"/>
      <c r="Z362" s="4">
        <f ca="1">('TUSD BE'!$AM$48+'TUSD BF'!$AM$48+'TUSD CVA'!$AM$48)*1</f>
        <v>448.02163143730991</v>
      </c>
      <c r="AA362" s="4">
        <f>('TE BE'!$AB$38+'TE BF'!$AB$38+'TE CVA'!$AB$38)*1</f>
        <v>191.00751406315655</v>
      </c>
      <c r="AB362" s="4">
        <f>$K$362*$V$362</f>
        <v>0</v>
      </c>
      <c r="AC362" s="4">
        <f>$M$362*$W$362</f>
        <v>13638.314980000001</v>
      </c>
      <c r="AD362" s="4">
        <f>$O$362*$X$362</f>
        <v>10794.753699999999</v>
      </c>
      <c r="AE362" s="4">
        <f>$K$362*$Y$362</f>
        <v>0</v>
      </c>
      <c r="AF362" s="4">
        <f ca="1">$M$362*$Z$362</f>
        <v>19955.77950748066</v>
      </c>
      <c r="AG362" s="4">
        <f>$O$362*$AA$362</f>
        <v>8507.856691401119</v>
      </c>
    </row>
    <row r="363" spans="1:33" ht="11.25" customHeight="1" x14ac:dyDescent="0.3">
      <c r="A363" s="3" t="s">
        <v>21</v>
      </c>
      <c r="B363" s="3" t="s">
        <v>33</v>
      </c>
      <c r="C363" s="3" t="s">
        <v>23</v>
      </c>
      <c r="D363" s="3" t="s">
        <v>44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44652</v>
      </c>
      <c r="J363" s="4">
        <v>0</v>
      </c>
      <c r="K363" s="4">
        <v>0</v>
      </c>
      <c r="L363" s="4">
        <v>31.946999999999999</v>
      </c>
      <c r="M363" s="4">
        <v>31.946999999999999</v>
      </c>
      <c r="N363" s="4">
        <v>31.946999999999999</v>
      </c>
      <c r="O363" s="4">
        <v>31.946999999999999</v>
      </c>
      <c r="P363" s="4">
        <v>50</v>
      </c>
      <c r="Q363" s="3" t="s">
        <v>26</v>
      </c>
      <c r="R363" s="3">
        <v>0</v>
      </c>
      <c r="S363" s="4">
        <v>0</v>
      </c>
      <c r="T363" s="4">
        <v>46</v>
      </c>
      <c r="U363" s="4">
        <v>84</v>
      </c>
      <c r="V363" s="4">
        <f>IF(ISERROR(VLOOKUP($S$363,'TAR FIN'!$A$1:$O$88,15,0)),0,VLOOKUP($S$363,'TAR FIN'!$A$1:$O$88,15,0))</f>
        <v>0</v>
      </c>
      <c r="W363" s="4">
        <f>IF(ISERROR(VLOOKUP($T$363,'TAR FIN'!$A$1:$O$88,15,0)),0,VLOOKUP($T$363,'TAR FIN'!$A$1:$O$88,15,0))</f>
        <v>306.19</v>
      </c>
      <c r="X363" s="4">
        <f>IF(ISERROR(VLOOKUP($U$363,'TAR FIN'!$A$1:$O$88,15,0)),0,VLOOKUP($U$363,'TAR FIN'!$A$1:$O$88,15,0))</f>
        <v>242.35</v>
      </c>
      <c r="Y363" s="4"/>
      <c r="Z363" s="4">
        <f ca="1">('TUSD BE'!$AM$48+'TUSD BF'!$AM$48+'TUSD CVA'!$AM$48)*1</f>
        <v>448.02163143730991</v>
      </c>
      <c r="AA363" s="4">
        <f>('TE BE'!$AB$38+'TE BF'!$AB$38+'TE CVA'!$AB$38)*1</f>
        <v>191.00751406315655</v>
      </c>
      <c r="AB363" s="4">
        <f>$K$363*$V$363</f>
        <v>0</v>
      </c>
      <c r="AC363" s="4">
        <f>$M$363*$W$363</f>
        <v>9781.8519299999989</v>
      </c>
      <c r="AD363" s="4">
        <f>$O$363*$X$363</f>
        <v>7742.35545</v>
      </c>
      <c r="AE363" s="4">
        <f>$K$363*$Y$363</f>
        <v>0</v>
      </c>
      <c r="AF363" s="4">
        <f ca="1">$M$363*$Z$363</f>
        <v>14312.94705952774</v>
      </c>
      <c r="AG363" s="4">
        <f>$O$363*$AA$363</f>
        <v>6102.1170517756618</v>
      </c>
    </row>
    <row r="364" spans="1:33" ht="11.25" customHeight="1" x14ac:dyDescent="0.3">
      <c r="A364" s="3" t="s">
        <v>21</v>
      </c>
      <c r="B364" s="3" t="s">
        <v>33</v>
      </c>
      <c r="C364" s="3" t="s">
        <v>23</v>
      </c>
      <c r="D364" s="3" t="s">
        <v>44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44682</v>
      </c>
      <c r="J364" s="4">
        <v>0</v>
      </c>
      <c r="K364" s="4">
        <v>0</v>
      </c>
      <c r="L364" s="4">
        <v>25.387</v>
      </c>
      <c r="M364" s="4">
        <v>25.387</v>
      </c>
      <c r="N364" s="4">
        <v>25.387</v>
      </c>
      <c r="O364" s="4">
        <v>25.387</v>
      </c>
      <c r="P364" s="4">
        <v>50</v>
      </c>
      <c r="Q364" s="3" t="s">
        <v>26</v>
      </c>
      <c r="R364" s="3">
        <v>0</v>
      </c>
      <c r="S364" s="4">
        <v>0</v>
      </c>
      <c r="T364" s="4">
        <v>46</v>
      </c>
      <c r="U364" s="4">
        <v>84</v>
      </c>
      <c r="V364" s="4">
        <f>IF(ISERROR(VLOOKUP($S$364,'TAR FIN'!$A$1:$O$88,15,0)),0,VLOOKUP($S$364,'TAR FIN'!$A$1:$O$88,15,0))</f>
        <v>0</v>
      </c>
      <c r="W364" s="4">
        <f>IF(ISERROR(VLOOKUP($T$364,'TAR FIN'!$A$1:$O$88,15,0)),0,VLOOKUP($T$364,'TAR FIN'!$A$1:$O$88,15,0))</f>
        <v>306.19</v>
      </c>
      <c r="X364" s="4">
        <f>IF(ISERROR(VLOOKUP($U$364,'TAR FIN'!$A$1:$O$88,15,0)),0,VLOOKUP($U$364,'TAR FIN'!$A$1:$O$88,15,0))</f>
        <v>242.35</v>
      </c>
      <c r="Y364" s="4"/>
      <c r="Z364" s="4">
        <f ca="1">('TUSD BE'!$AM$48+'TUSD BF'!$AM$48+'TUSD CVA'!$AM$48)*1</f>
        <v>448.02163143730991</v>
      </c>
      <c r="AA364" s="4">
        <f>('TE BE'!$AB$38+'TE BF'!$AB$38+'TE CVA'!$AB$38)*1</f>
        <v>191.00751406315655</v>
      </c>
      <c r="AB364" s="4">
        <f>$K$364*$V$364</f>
        <v>0</v>
      </c>
      <c r="AC364" s="4">
        <f>$M$364*$W$364</f>
        <v>7773.2455300000001</v>
      </c>
      <c r="AD364" s="4">
        <f>$O$364*$X$364</f>
        <v>6152.5394500000002</v>
      </c>
      <c r="AE364" s="4">
        <f>$K$364*$Y$364</f>
        <v>0</v>
      </c>
      <c r="AF364" s="4">
        <f ca="1">$M$364*$Z$364</f>
        <v>11373.925157298987</v>
      </c>
      <c r="AG364" s="4">
        <f>$O$364*$AA$364</f>
        <v>4849.1077595213555</v>
      </c>
    </row>
    <row r="365" spans="1:33" ht="11.25" customHeight="1" x14ac:dyDescent="0.3">
      <c r="A365" s="3" t="s">
        <v>21</v>
      </c>
      <c r="B365" s="3" t="s">
        <v>33</v>
      </c>
      <c r="C365" s="3" t="s">
        <v>23</v>
      </c>
      <c r="D365" s="3" t="s">
        <v>44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44713</v>
      </c>
      <c r="J365" s="4">
        <v>0</v>
      </c>
      <c r="K365" s="4">
        <v>0</v>
      </c>
      <c r="L365" s="4">
        <v>26.954000000000001</v>
      </c>
      <c r="M365" s="4">
        <v>26.954000000000001</v>
      </c>
      <c r="N365" s="4">
        <v>26.954000000000001</v>
      </c>
      <c r="O365" s="4">
        <v>26.954000000000001</v>
      </c>
      <c r="P365" s="4">
        <v>50</v>
      </c>
      <c r="Q365" s="3" t="s">
        <v>26</v>
      </c>
      <c r="R365" s="3">
        <v>0</v>
      </c>
      <c r="S365" s="4">
        <v>0</v>
      </c>
      <c r="T365" s="4">
        <v>46</v>
      </c>
      <c r="U365" s="4">
        <v>84</v>
      </c>
      <c r="V365" s="4">
        <f>IF(ISERROR(VLOOKUP($S$365,'TAR FIN'!$A$1:$O$88,15,0)),0,VLOOKUP($S$365,'TAR FIN'!$A$1:$O$88,15,0))</f>
        <v>0</v>
      </c>
      <c r="W365" s="4">
        <f>IF(ISERROR(VLOOKUP($T$365,'TAR FIN'!$A$1:$O$88,15,0)),0,VLOOKUP($T$365,'TAR FIN'!$A$1:$O$88,15,0))</f>
        <v>306.19</v>
      </c>
      <c r="X365" s="4">
        <f>IF(ISERROR(VLOOKUP($U$365,'TAR FIN'!$A$1:$O$88,15,0)),0,VLOOKUP($U$365,'TAR FIN'!$A$1:$O$88,15,0))</f>
        <v>242.35</v>
      </c>
      <c r="Y365" s="4"/>
      <c r="Z365" s="4">
        <f ca="1">('TUSD BE'!$AM$48+'TUSD BF'!$AM$48+'TUSD CVA'!$AM$48)*1</f>
        <v>448.02163143730991</v>
      </c>
      <c r="AA365" s="4">
        <f>('TE BE'!$AB$38+'TE BF'!$AB$38+'TE CVA'!$AB$38)*1</f>
        <v>191.00751406315655</v>
      </c>
      <c r="AB365" s="4">
        <f>$K$365*$V$365</f>
        <v>0</v>
      </c>
      <c r="AC365" s="4">
        <f>$M$365*$W$365</f>
        <v>8253.0452600000008</v>
      </c>
      <c r="AD365" s="4">
        <f>$O$365*$X$365</f>
        <v>6532.3019000000004</v>
      </c>
      <c r="AE365" s="4">
        <f>$K$365*$Y$365</f>
        <v>0</v>
      </c>
      <c r="AF365" s="4">
        <f ca="1">$M$365*$Z$365</f>
        <v>12075.975053761251</v>
      </c>
      <c r="AG365" s="4">
        <f>$O$365*$AA$365</f>
        <v>5148.4165340583213</v>
      </c>
    </row>
    <row r="366" spans="1:33" ht="11.25" customHeight="1" x14ac:dyDescent="0.3">
      <c r="A366" s="3" t="s">
        <v>21</v>
      </c>
      <c r="B366" s="3" t="s">
        <v>33</v>
      </c>
      <c r="C366" s="3" t="s">
        <v>23</v>
      </c>
      <c r="D366" s="3" t="s">
        <v>44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44743</v>
      </c>
      <c r="J366" s="4">
        <v>0</v>
      </c>
      <c r="K366" s="4">
        <v>0</v>
      </c>
      <c r="L366" s="4">
        <v>26.992999999999999</v>
      </c>
      <c r="M366" s="4">
        <v>26.992999999999999</v>
      </c>
      <c r="N366" s="4">
        <v>26.992999999999999</v>
      </c>
      <c r="O366" s="4">
        <v>26.992999999999999</v>
      </c>
      <c r="P366" s="4">
        <v>51</v>
      </c>
      <c r="Q366" s="3" t="s">
        <v>26</v>
      </c>
      <c r="R366" s="3">
        <v>0</v>
      </c>
      <c r="S366" s="4">
        <v>0</v>
      </c>
      <c r="T366" s="4">
        <v>46</v>
      </c>
      <c r="U366" s="4">
        <v>84</v>
      </c>
      <c r="V366" s="4">
        <f>IF(ISERROR(VLOOKUP($S$366,'TAR FIN'!$A$1:$O$88,15,0)),0,VLOOKUP($S$366,'TAR FIN'!$A$1:$O$88,15,0))</f>
        <v>0</v>
      </c>
      <c r="W366" s="4">
        <f>IF(ISERROR(VLOOKUP($T$366,'TAR FIN'!$A$1:$O$88,15,0)),0,VLOOKUP($T$366,'TAR FIN'!$A$1:$O$88,15,0))</f>
        <v>306.19</v>
      </c>
      <c r="X366" s="4">
        <f>IF(ISERROR(VLOOKUP($U$366,'TAR FIN'!$A$1:$O$88,15,0)),0,VLOOKUP($U$366,'TAR FIN'!$A$1:$O$88,15,0))</f>
        <v>242.35</v>
      </c>
      <c r="Y366" s="4"/>
      <c r="Z366" s="4">
        <f ca="1">('TUSD BE'!$AM$48+'TUSD BF'!$AM$48+'TUSD CVA'!$AM$48)*1</f>
        <v>448.02163143730991</v>
      </c>
      <c r="AA366" s="4">
        <f>('TE BE'!$AB$38+'TE BF'!$AB$38+'TE CVA'!$AB$38)*1</f>
        <v>191.00751406315655</v>
      </c>
      <c r="AB366" s="4">
        <f>$K$366*$V$366</f>
        <v>0</v>
      </c>
      <c r="AC366" s="4">
        <f>$M$366*$W$366</f>
        <v>8264.9866700000002</v>
      </c>
      <c r="AD366" s="4">
        <f>$O$366*$X$366</f>
        <v>6541.7535499999994</v>
      </c>
      <c r="AE366" s="4">
        <f>$K$366*$Y$366</f>
        <v>0</v>
      </c>
      <c r="AF366" s="4">
        <f ca="1">$M$366*$Z$366</f>
        <v>12093.447897387307</v>
      </c>
      <c r="AG366" s="4">
        <f>$O$366*$AA$366</f>
        <v>5155.8658271067843</v>
      </c>
    </row>
    <row r="367" spans="1:33" ht="11.25" customHeight="1" x14ac:dyDescent="0.3">
      <c r="A367" s="3" t="s">
        <v>55</v>
      </c>
      <c r="B367" s="3" t="s">
        <v>33</v>
      </c>
      <c r="C367" s="3" t="s">
        <v>23</v>
      </c>
      <c r="D367" s="3" t="s">
        <v>44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44774</v>
      </c>
      <c r="J367" s="4">
        <v>0</v>
      </c>
      <c r="K367" s="4">
        <v>0</v>
      </c>
      <c r="L367" s="4">
        <v>26.992999999999999</v>
      </c>
      <c r="M367" s="4">
        <v>26.992999999999999</v>
      </c>
      <c r="N367" s="4">
        <v>26.992999999999999</v>
      </c>
      <c r="O367" s="4">
        <v>26.992999999999999</v>
      </c>
      <c r="P367" s="4">
        <v>51</v>
      </c>
      <c r="Q367" s="3" t="s">
        <v>26</v>
      </c>
      <c r="R367" s="3">
        <v>0</v>
      </c>
      <c r="S367" s="4">
        <v>0</v>
      </c>
      <c r="T367" s="4">
        <v>46</v>
      </c>
      <c r="U367" s="4">
        <v>84</v>
      </c>
      <c r="V367" s="4">
        <f>IF(ISERROR(VLOOKUP($S$367,'TAR FIN'!$A$1:$O$88,15,0)),0,VLOOKUP($S$367,'TAR FIN'!$A$1:$O$88,15,0))</f>
        <v>0</v>
      </c>
      <c r="W367" s="4">
        <f>IF(ISERROR(VLOOKUP($T$367,'TAR FIN'!$A$1:$O$88,15,0)),0,VLOOKUP($T$367,'TAR FIN'!$A$1:$O$88,15,0))</f>
        <v>306.19</v>
      </c>
      <c r="X367" s="4">
        <f>IF(ISERROR(VLOOKUP($U$367,'TAR FIN'!$A$1:$O$88,15,0)),0,VLOOKUP($U$367,'TAR FIN'!$A$1:$O$88,15,0))</f>
        <v>242.35</v>
      </c>
      <c r="Y367" s="4"/>
      <c r="Z367" s="4">
        <f ca="1">('TUSD BE'!$AM$48+'TUSD BF'!$AM$48+'TUSD CVA'!$AM$48)*1</f>
        <v>448.02163143730991</v>
      </c>
      <c r="AA367" s="4">
        <f>('TE BE'!$AB$38+'TE BF'!$AB$38+'TE CVA'!$AB$38)*1</f>
        <v>191.00751406315655</v>
      </c>
      <c r="AB367" s="4">
        <f>$K$367*$V$367</f>
        <v>0</v>
      </c>
      <c r="AC367" s="4">
        <f>$M$367*$W$367</f>
        <v>8264.9866700000002</v>
      </c>
      <c r="AD367" s="4">
        <f>$O$367*$X$367</f>
        <v>6541.7535499999994</v>
      </c>
      <c r="AE367" s="4">
        <f>$K$367*$Y$367</f>
        <v>0</v>
      </c>
      <c r="AF367" s="4">
        <f ca="1">$M$367*$Z$367</f>
        <v>12093.447897387307</v>
      </c>
      <c r="AG367" s="4">
        <f>$O$367*$AA$367</f>
        <v>5155.8658271067843</v>
      </c>
    </row>
    <row r="368" spans="1:33" ht="11.25" customHeight="1" x14ac:dyDescent="0.3">
      <c r="A368" s="3" t="s">
        <v>21</v>
      </c>
      <c r="B368" s="3" t="s">
        <v>33</v>
      </c>
      <c r="C368" s="3" t="s">
        <v>23</v>
      </c>
      <c r="D368" s="3" t="s">
        <v>48</v>
      </c>
      <c r="E368" s="3" t="s">
        <v>49</v>
      </c>
      <c r="F368" s="3" t="s">
        <v>25</v>
      </c>
      <c r="G368" s="3" t="s">
        <v>25</v>
      </c>
      <c r="H368" s="3" t="s">
        <v>25</v>
      </c>
      <c r="I368" s="6">
        <v>44440</v>
      </c>
      <c r="J368" s="4">
        <v>0</v>
      </c>
      <c r="K368" s="58">
        <v>0</v>
      </c>
      <c r="L368" s="4">
        <v>19.818999999999999</v>
      </c>
      <c r="M368" s="58">
        <v>19.818999999999999</v>
      </c>
      <c r="N368" s="4">
        <v>19.818999999999999</v>
      </c>
      <c r="O368" s="58">
        <v>19.818999999999999</v>
      </c>
      <c r="P368" s="4">
        <v>4</v>
      </c>
      <c r="Q368" s="3" t="s">
        <v>26</v>
      </c>
      <c r="R368" s="3">
        <v>0</v>
      </c>
      <c r="S368" s="4">
        <v>0</v>
      </c>
      <c r="T368" s="4">
        <v>46</v>
      </c>
      <c r="U368" s="4">
        <v>84</v>
      </c>
      <c r="V368" s="58">
        <f>IF(ISERROR(VLOOKUP($S$368,'TAR FIN'!$A$1:$O$88,15,0)),0,VLOOKUP($S$368,'TAR FIN'!$A$1:$O$88,15,0))</f>
        <v>0</v>
      </c>
      <c r="W368" s="58">
        <f>IF(ISERROR(VLOOKUP($T$368,'TAR FIN'!$A$1:$O$88,15,0)),0,VLOOKUP($T$368,'TAR FIN'!$A$1:$O$88,15,0))*(1-0.06)</f>
        <v>287.8186</v>
      </c>
      <c r="X368" s="58">
        <f>IF(ISERROR(VLOOKUP($U$368,'TAR FIN'!$A$1:$O$88,15,0)),0,VLOOKUP($U$368,'TAR FIN'!$A$1:$O$88,15,0))*(1-0.06)</f>
        <v>227.80899999999997</v>
      </c>
      <c r="Y368" s="58"/>
      <c r="Z368" s="58">
        <f ca="1">('TUSD BE'!$AM$48+'TUSD BF'!$AM$48+'TUSD CVA'!$AM$48)*1*(1-0.03)</f>
        <v>434.58098249419061</v>
      </c>
      <c r="AA368" s="58">
        <f>('TE BE'!$AB$38+'TE BF'!$AB$38+'TE CVA'!$AB$38)*1*(1-0.03)</f>
        <v>185.27728864126183</v>
      </c>
      <c r="AB368" s="4">
        <f>$K$368*$V$368</f>
        <v>0</v>
      </c>
      <c r="AC368" s="4">
        <f>$M$368*$W$368</f>
        <v>5704.2768334000002</v>
      </c>
      <c r="AD368" s="4">
        <f>$O$368*$X$368</f>
        <v>4514.9465709999995</v>
      </c>
      <c r="AE368" s="4">
        <f>$K$368*$Y$368</f>
        <v>0</v>
      </c>
      <c r="AF368" s="4">
        <f ca="1">$M$368*$Z$368</f>
        <v>8612.9604920523634</v>
      </c>
      <c r="AG368" s="4">
        <f>$O$368*$AA$368</f>
        <v>3672.0105835811682</v>
      </c>
    </row>
    <row r="369" spans="1:33" ht="11.25" customHeight="1" x14ac:dyDescent="0.3">
      <c r="A369" s="3" t="s">
        <v>21</v>
      </c>
      <c r="B369" s="3" t="s">
        <v>33</v>
      </c>
      <c r="C369" s="3" t="s">
        <v>23</v>
      </c>
      <c r="D369" s="3" t="s">
        <v>48</v>
      </c>
      <c r="E369" s="3" t="s">
        <v>49</v>
      </c>
      <c r="F369" s="3" t="s">
        <v>25</v>
      </c>
      <c r="G369" s="3" t="s">
        <v>25</v>
      </c>
      <c r="H369" s="3" t="s">
        <v>25</v>
      </c>
      <c r="I369" s="6">
        <v>44470</v>
      </c>
      <c r="J369" s="4">
        <v>0</v>
      </c>
      <c r="K369" s="58">
        <v>0</v>
      </c>
      <c r="L369" s="4">
        <v>22.408999999999999</v>
      </c>
      <c r="M369" s="58">
        <v>22.408999999999999</v>
      </c>
      <c r="N369" s="4">
        <v>22.408999999999999</v>
      </c>
      <c r="O369" s="58">
        <v>22.408999999999999</v>
      </c>
      <c r="P369" s="4">
        <v>4</v>
      </c>
      <c r="Q369" s="3" t="s">
        <v>26</v>
      </c>
      <c r="R369" s="3">
        <v>0</v>
      </c>
      <c r="S369" s="4">
        <v>0</v>
      </c>
      <c r="T369" s="4">
        <v>46</v>
      </c>
      <c r="U369" s="4">
        <v>84</v>
      </c>
      <c r="V369" s="58">
        <f>IF(ISERROR(VLOOKUP($S$369,'TAR FIN'!$A$1:$O$88,15,0)),0,VLOOKUP($S$369,'TAR FIN'!$A$1:$O$88,15,0))</f>
        <v>0</v>
      </c>
      <c r="W369" s="58">
        <f>IF(ISERROR(VLOOKUP($T$369,'TAR FIN'!$A$1:$O$88,15,0)),0,VLOOKUP($T$369,'TAR FIN'!$A$1:$O$88,15,0))*(1-0.06)</f>
        <v>287.8186</v>
      </c>
      <c r="X369" s="58">
        <f>IF(ISERROR(VLOOKUP($U$369,'TAR FIN'!$A$1:$O$88,15,0)),0,VLOOKUP($U$369,'TAR FIN'!$A$1:$O$88,15,0))*(1-0.06)</f>
        <v>227.80899999999997</v>
      </c>
      <c r="Y369" s="58"/>
      <c r="Z369" s="58">
        <f ca="1">('TUSD BE'!$AM$48+'TUSD BF'!$AM$48+'TUSD CVA'!$AM$48)*1*(1-0.03)</f>
        <v>434.58098249419061</v>
      </c>
      <c r="AA369" s="58">
        <f>('TE BE'!$AB$38+'TE BF'!$AB$38+'TE CVA'!$AB$38)*1*(1-0.03)</f>
        <v>185.27728864126183</v>
      </c>
      <c r="AB369" s="4">
        <f>$K$369*$V$369</f>
        <v>0</v>
      </c>
      <c r="AC369" s="4">
        <f>$M$369*$W$369</f>
        <v>6449.7270073999998</v>
      </c>
      <c r="AD369" s="4">
        <f>$O$369*$X$369</f>
        <v>5104.9718809999995</v>
      </c>
      <c r="AE369" s="4">
        <f>$K$369*$Y$369</f>
        <v>0</v>
      </c>
      <c r="AF369" s="4">
        <f ca="1">$M$369*$Z$369</f>
        <v>9738.5252367123176</v>
      </c>
      <c r="AG369" s="4">
        <f>$O$369*$AA$369</f>
        <v>4151.8787611620364</v>
      </c>
    </row>
    <row r="370" spans="1:33" ht="11.25" customHeight="1" x14ac:dyDescent="0.3">
      <c r="A370" s="3" t="s">
        <v>21</v>
      </c>
      <c r="B370" s="3" t="s">
        <v>33</v>
      </c>
      <c r="C370" s="3" t="s">
        <v>23</v>
      </c>
      <c r="D370" s="3" t="s">
        <v>48</v>
      </c>
      <c r="E370" s="3" t="s">
        <v>49</v>
      </c>
      <c r="F370" s="3" t="s">
        <v>25</v>
      </c>
      <c r="G370" s="3" t="s">
        <v>25</v>
      </c>
      <c r="H370" s="3" t="s">
        <v>25</v>
      </c>
      <c r="I370" s="6">
        <v>44501</v>
      </c>
      <c r="J370" s="4">
        <v>0</v>
      </c>
      <c r="K370" s="58">
        <v>0</v>
      </c>
      <c r="L370" s="4">
        <v>20.324000000000002</v>
      </c>
      <c r="M370" s="58">
        <v>20.324000000000002</v>
      </c>
      <c r="N370" s="4">
        <v>20.324000000000002</v>
      </c>
      <c r="O370" s="58">
        <v>20.324000000000002</v>
      </c>
      <c r="P370" s="4">
        <v>4</v>
      </c>
      <c r="Q370" s="3" t="s">
        <v>26</v>
      </c>
      <c r="R370" s="3">
        <v>0</v>
      </c>
      <c r="S370" s="4">
        <v>0</v>
      </c>
      <c r="T370" s="4">
        <v>46</v>
      </c>
      <c r="U370" s="4">
        <v>84</v>
      </c>
      <c r="V370" s="58">
        <f>IF(ISERROR(VLOOKUP($S$370,'TAR FIN'!$A$1:$O$88,15,0)),0,VLOOKUP($S$370,'TAR FIN'!$A$1:$O$88,15,0))</f>
        <v>0</v>
      </c>
      <c r="W370" s="58">
        <f>IF(ISERROR(VLOOKUP($T$370,'TAR FIN'!$A$1:$O$88,15,0)),0,VLOOKUP($T$370,'TAR FIN'!$A$1:$O$88,15,0))*(1-0.06)</f>
        <v>287.8186</v>
      </c>
      <c r="X370" s="58">
        <f>IF(ISERROR(VLOOKUP($U$370,'TAR FIN'!$A$1:$O$88,15,0)),0,VLOOKUP($U$370,'TAR FIN'!$A$1:$O$88,15,0))*(1-0.06)</f>
        <v>227.80899999999997</v>
      </c>
      <c r="Y370" s="58"/>
      <c r="Z370" s="58">
        <f ca="1">('TUSD BE'!$AM$48+'TUSD BF'!$AM$48+'TUSD CVA'!$AM$48)*1*(1-0.03)</f>
        <v>434.58098249419061</v>
      </c>
      <c r="AA370" s="58">
        <f>('TE BE'!$AB$38+'TE BF'!$AB$38+'TE CVA'!$AB$38)*1*(1-0.03)</f>
        <v>185.27728864126183</v>
      </c>
      <c r="AB370" s="4">
        <f>$K$370*$V$370</f>
        <v>0</v>
      </c>
      <c r="AC370" s="4">
        <f>$M$370*$W$370</f>
        <v>5849.6252264000004</v>
      </c>
      <c r="AD370" s="4">
        <f>$O$370*$X$370</f>
        <v>4629.9901159999999</v>
      </c>
      <c r="AE370" s="4">
        <f>$K$370*$Y$370</f>
        <v>0</v>
      </c>
      <c r="AF370" s="4">
        <f ca="1">$M$370*$Z$370</f>
        <v>8832.4238882119298</v>
      </c>
      <c r="AG370" s="4">
        <f>$O$370*$AA$370</f>
        <v>3765.5756143450058</v>
      </c>
    </row>
    <row r="371" spans="1:33" ht="11.25" customHeight="1" x14ac:dyDescent="0.3">
      <c r="A371" s="3" t="s">
        <v>21</v>
      </c>
      <c r="B371" s="3" t="s">
        <v>33</v>
      </c>
      <c r="C371" s="3" t="s">
        <v>23</v>
      </c>
      <c r="D371" s="3" t="s">
        <v>48</v>
      </c>
      <c r="E371" s="3" t="s">
        <v>49</v>
      </c>
      <c r="F371" s="3" t="s">
        <v>25</v>
      </c>
      <c r="G371" s="3" t="s">
        <v>25</v>
      </c>
      <c r="H371" s="3" t="s">
        <v>25</v>
      </c>
      <c r="I371" s="6">
        <v>44531</v>
      </c>
      <c r="J371" s="4">
        <v>0</v>
      </c>
      <c r="K371" s="58">
        <v>0</v>
      </c>
      <c r="L371" s="4">
        <v>22.574000000000002</v>
      </c>
      <c r="M371" s="58">
        <v>22.574000000000002</v>
      </c>
      <c r="N371" s="4">
        <v>22.574000000000002</v>
      </c>
      <c r="O371" s="58">
        <v>22.574000000000002</v>
      </c>
      <c r="P371" s="4">
        <v>4</v>
      </c>
      <c r="Q371" s="3" t="s">
        <v>26</v>
      </c>
      <c r="R371" s="3">
        <v>0</v>
      </c>
      <c r="S371" s="4">
        <v>0</v>
      </c>
      <c r="T371" s="4">
        <v>46</v>
      </c>
      <c r="U371" s="4">
        <v>84</v>
      </c>
      <c r="V371" s="58">
        <f>IF(ISERROR(VLOOKUP($S$371,'TAR FIN'!$A$1:$O$88,15,0)),0,VLOOKUP($S$371,'TAR FIN'!$A$1:$O$88,15,0))</f>
        <v>0</v>
      </c>
      <c r="W371" s="58">
        <f>IF(ISERROR(VLOOKUP($T$371,'TAR FIN'!$A$1:$O$88,15,0)),0,VLOOKUP($T$371,'TAR FIN'!$A$1:$O$88,15,0))*(1-0.06)</f>
        <v>287.8186</v>
      </c>
      <c r="X371" s="58">
        <f>IF(ISERROR(VLOOKUP($U$371,'TAR FIN'!$A$1:$O$88,15,0)),0,VLOOKUP($U$371,'TAR FIN'!$A$1:$O$88,15,0))*(1-0.06)</f>
        <v>227.80899999999997</v>
      </c>
      <c r="Y371" s="58"/>
      <c r="Z371" s="58">
        <f ca="1">('TUSD BE'!$AM$48+'TUSD BF'!$AM$48+'TUSD CVA'!$AM$48)*1*(1-0.03)</f>
        <v>434.58098249419061</v>
      </c>
      <c r="AA371" s="58">
        <f>('TE BE'!$AB$38+'TE BF'!$AB$38+'TE CVA'!$AB$38)*1*(1-0.03)</f>
        <v>185.27728864126183</v>
      </c>
      <c r="AB371" s="4">
        <f>$K$371*$V$371</f>
        <v>0</v>
      </c>
      <c r="AC371" s="4">
        <f>$M$371*$W$371</f>
        <v>6497.2170764000002</v>
      </c>
      <c r="AD371" s="4">
        <f>$O$371*$X$371</f>
        <v>5142.5603659999997</v>
      </c>
      <c r="AE371" s="4">
        <f>$K$371*$Y$371</f>
        <v>0</v>
      </c>
      <c r="AF371" s="4">
        <f ca="1">$M$371*$Z$371</f>
        <v>9810.2310988238587</v>
      </c>
      <c r="AG371" s="4">
        <f>$O$371*$AA$371</f>
        <v>4182.4495137878448</v>
      </c>
    </row>
    <row r="372" spans="1:33" ht="11.25" customHeight="1" x14ac:dyDescent="0.3">
      <c r="A372" s="3" t="s">
        <v>21</v>
      </c>
      <c r="B372" s="3" t="s">
        <v>33</v>
      </c>
      <c r="C372" s="3" t="s">
        <v>23</v>
      </c>
      <c r="D372" s="3" t="s">
        <v>48</v>
      </c>
      <c r="E372" s="3" t="s">
        <v>49</v>
      </c>
      <c r="F372" s="3" t="s">
        <v>25</v>
      </c>
      <c r="G372" s="3" t="s">
        <v>25</v>
      </c>
      <c r="H372" s="3" t="s">
        <v>25</v>
      </c>
      <c r="I372" s="6">
        <v>44562</v>
      </c>
      <c r="J372" s="4">
        <v>0</v>
      </c>
      <c r="K372" s="58">
        <v>0</v>
      </c>
      <c r="L372" s="4">
        <v>17.370999999999999</v>
      </c>
      <c r="M372" s="58">
        <v>17.370999999999999</v>
      </c>
      <c r="N372" s="4">
        <v>17.370999999999999</v>
      </c>
      <c r="O372" s="58">
        <v>17.370999999999999</v>
      </c>
      <c r="P372" s="4">
        <v>4</v>
      </c>
      <c r="Q372" s="3" t="s">
        <v>26</v>
      </c>
      <c r="R372" s="3">
        <v>0</v>
      </c>
      <c r="S372" s="4">
        <v>0</v>
      </c>
      <c r="T372" s="4">
        <v>46</v>
      </c>
      <c r="U372" s="4">
        <v>84</v>
      </c>
      <c r="V372" s="58">
        <f>IF(ISERROR(VLOOKUP($S$372,'TAR FIN'!$A$1:$O$88,15,0)),0,VLOOKUP($S$372,'TAR FIN'!$A$1:$O$88,15,0))</f>
        <v>0</v>
      </c>
      <c r="W372" s="58">
        <f>IF(ISERROR(VLOOKUP($T$372,'TAR FIN'!$A$1:$O$88,15,0)),0,VLOOKUP($T$372,'TAR FIN'!$A$1:$O$88,15,0))*(1-0.06)</f>
        <v>287.8186</v>
      </c>
      <c r="X372" s="58">
        <f>IF(ISERROR(VLOOKUP($U$372,'TAR FIN'!$A$1:$O$88,15,0)),0,VLOOKUP($U$372,'TAR FIN'!$A$1:$O$88,15,0))*(1-0.06)</f>
        <v>227.80899999999997</v>
      </c>
      <c r="Y372" s="58"/>
      <c r="Z372" s="58">
        <f ca="1">('TUSD BE'!$AM$48+'TUSD BF'!$AM$48+'TUSD CVA'!$AM$48)*1*(1-0.03)</f>
        <v>434.58098249419061</v>
      </c>
      <c r="AA372" s="58">
        <f>('TE BE'!$AB$38+'TE BF'!$AB$38+'TE CVA'!$AB$38)*1*(1-0.03)</f>
        <v>185.27728864126183</v>
      </c>
      <c r="AB372" s="4">
        <f>$K$372*$V$372</f>
        <v>0</v>
      </c>
      <c r="AC372" s="4">
        <f>$M$372*$W$372</f>
        <v>4999.6969005999999</v>
      </c>
      <c r="AD372" s="4">
        <f>$O$372*$X$372</f>
        <v>3957.2701389999993</v>
      </c>
      <c r="AE372" s="4">
        <f>$K$372*$Y$372</f>
        <v>0</v>
      </c>
      <c r="AF372" s="4">
        <f ca="1">$M$372*$Z$372</f>
        <v>7549.1062469065846</v>
      </c>
      <c r="AG372" s="4">
        <f>$O$372*$AA$372</f>
        <v>3218.4517809873591</v>
      </c>
    </row>
    <row r="373" spans="1:33" ht="11.25" customHeight="1" x14ac:dyDescent="0.3">
      <c r="A373" s="3" t="s">
        <v>21</v>
      </c>
      <c r="B373" s="3" t="s">
        <v>33</v>
      </c>
      <c r="C373" s="3" t="s">
        <v>23</v>
      </c>
      <c r="D373" s="3" t="s">
        <v>48</v>
      </c>
      <c r="E373" s="3" t="s">
        <v>49</v>
      </c>
      <c r="F373" s="3" t="s">
        <v>25</v>
      </c>
      <c r="G373" s="3" t="s">
        <v>25</v>
      </c>
      <c r="H373" s="3" t="s">
        <v>25</v>
      </c>
      <c r="I373" s="6">
        <v>44593</v>
      </c>
      <c r="J373" s="4">
        <v>0</v>
      </c>
      <c r="K373" s="58">
        <v>0</v>
      </c>
      <c r="L373" s="4">
        <v>20.225000000000001</v>
      </c>
      <c r="M373" s="58">
        <v>20.225000000000001</v>
      </c>
      <c r="N373" s="4">
        <v>20.225000000000001</v>
      </c>
      <c r="O373" s="58">
        <v>20.225000000000001</v>
      </c>
      <c r="P373" s="4">
        <v>4</v>
      </c>
      <c r="Q373" s="3" t="s">
        <v>26</v>
      </c>
      <c r="R373" s="3">
        <v>0</v>
      </c>
      <c r="S373" s="4">
        <v>0</v>
      </c>
      <c r="T373" s="4">
        <v>46</v>
      </c>
      <c r="U373" s="4">
        <v>84</v>
      </c>
      <c r="V373" s="58">
        <f>IF(ISERROR(VLOOKUP($S$373,'TAR FIN'!$A$1:$O$88,15,0)),0,VLOOKUP($S$373,'TAR FIN'!$A$1:$O$88,15,0))</f>
        <v>0</v>
      </c>
      <c r="W373" s="58">
        <f>IF(ISERROR(VLOOKUP($T$373,'TAR FIN'!$A$1:$O$88,15,0)),0,VLOOKUP($T$373,'TAR FIN'!$A$1:$O$88,15,0))*(1-0.06)</f>
        <v>287.8186</v>
      </c>
      <c r="X373" s="58">
        <f>IF(ISERROR(VLOOKUP($U$373,'TAR FIN'!$A$1:$O$88,15,0)),0,VLOOKUP($U$373,'TAR FIN'!$A$1:$O$88,15,0))*(1-0.06)</f>
        <v>227.80899999999997</v>
      </c>
      <c r="Y373" s="58"/>
      <c r="Z373" s="58">
        <f ca="1">('TUSD BE'!$AM$48+'TUSD BF'!$AM$48+'TUSD CVA'!$AM$48)*1*(1-0.03)</f>
        <v>434.58098249419061</v>
      </c>
      <c r="AA373" s="58">
        <f>('TE BE'!$AB$38+'TE BF'!$AB$38+'TE CVA'!$AB$38)*1*(1-0.03)</f>
        <v>185.27728864126183</v>
      </c>
      <c r="AB373" s="4">
        <f>$K$373*$V$373</f>
        <v>0</v>
      </c>
      <c r="AC373" s="4">
        <f>$M$373*$W$373</f>
        <v>5821.1311850000002</v>
      </c>
      <c r="AD373" s="4">
        <f>$O$373*$X$373</f>
        <v>4607.4370249999993</v>
      </c>
      <c r="AE373" s="4">
        <f>$K$373*$Y$373</f>
        <v>0</v>
      </c>
      <c r="AF373" s="4">
        <f ca="1">$M$373*$Z$373</f>
        <v>8789.4003709450062</v>
      </c>
      <c r="AG373" s="4">
        <f>$O$373*$AA$373</f>
        <v>3747.2331627695207</v>
      </c>
    </row>
    <row r="374" spans="1:33" ht="11.25" customHeight="1" x14ac:dyDescent="0.3">
      <c r="A374" s="3" t="s">
        <v>21</v>
      </c>
      <c r="B374" s="3" t="s">
        <v>33</v>
      </c>
      <c r="C374" s="3" t="s">
        <v>23</v>
      </c>
      <c r="D374" s="3" t="s">
        <v>48</v>
      </c>
      <c r="E374" s="3" t="s">
        <v>49</v>
      </c>
      <c r="F374" s="3" t="s">
        <v>25</v>
      </c>
      <c r="G374" s="3" t="s">
        <v>25</v>
      </c>
      <c r="H374" s="3" t="s">
        <v>25</v>
      </c>
      <c r="I374" s="6">
        <v>44621</v>
      </c>
      <c r="J374" s="4">
        <v>0</v>
      </c>
      <c r="K374" s="58">
        <v>0</v>
      </c>
      <c r="L374" s="4">
        <v>17.375</v>
      </c>
      <c r="M374" s="58">
        <v>17.375</v>
      </c>
      <c r="N374" s="4">
        <v>17.375</v>
      </c>
      <c r="O374" s="58">
        <v>17.375</v>
      </c>
      <c r="P374" s="4">
        <v>4</v>
      </c>
      <c r="Q374" s="3" t="s">
        <v>26</v>
      </c>
      <c r="R374" s="3">
        <v>0</v>
      </c>
      <c r="S374" s="4">
        <v>0</v>
      </c>
      <c r="T374" s="4">
        <v>46</v>
      </c>
      <c r="U374" s="4">
        <v>84</v>
      </c>
      <c r="V374" s="58">
        <f>IF(ISERROR(VLOOKUP($S$374,'TAR FIN'!$A$1:$O$88,15,0)),0,VLOOKUP($S$374,'TAR FIN'!$A$1:$O$88,15,0))</f>
        <v>0</v>
      </c>
      <c r="W374" s="58">
        <f>IF(ISERROR(VLOOKUP($T$374,'TAR FIN'!$A$1:$O$88,15,0)),0,VLOOKUP($T$374,'TAR FIN'!$A$1:$O$88,15,0))*(1-0.06)</f>
        <v>287.8186</v>
      </c>
      <c r="X374" s="58">
        <f>IF(ISERROR(VLOOKUP($U$374,'TAR FIN'!$A$1:$O$88,15,0)),0,VLOOKUP($U$374,'TAR FIN'!$A$1:$O$88,15,0))*(1-0.06)</f>
        <v>227.80899999999997</v>
      </c>
      <c r="Y374" s="58"/>
      <c r="Z374" s="58">
        <f ca="1">('TUSD BE'!$AM$48+'TUSD BF'!$AM$48+'TUSD CVA'!$AM$48)*1*(1-0.03)</f>
        <v>434.58098249419061</v>
      </c>
      <c r="AA374" s="58">
        <f>('TE BE'!$AB$38+'TE BF'!$AB$38+'TE CVA'!$AB$38)*1*(1-0.03)</f>
        <v>185.27728864126183</v>
      </c>
      <c r="AB374" s="4">
        <f>$K$374*$V$374</f>
        <v>0</v>
      </c>
      <c r="AC374" s="4">
        <f>$M$374*$W$374</f>
        <v>5000.8481750000001</v>
      </c>
      <c r="AD374" s="4">
        <f>$O$374*$X$374</f>
        <v>3958.1813749999997</v>
      </c>
      <c r="AE374" s="4">
        <f>$K$374*$Y$374</f>
        <v>0</v>
      </c>
      <c r="AF374" s="4">
        <f ca="1">$M$374*$Z$374</f>
        <v>7550.8445708365616</v>
      </c>
      <c r="AG374" s="4">
        <f>$O$374*$AA$374</f>
        <v>3219.1928901419242</v>
      </c>
    </row>
    <row r="375" spans="1:33" ht="11.25" customHeight="1" x14ac:dyDescent="0.3">
      <c r="A375" s="3" t="s">
        <v>21</v>
      </c>
      <c r="B375" s="3" t="s">
        <v>33</v>
      </c>
      <c r="C375" s="3" t="s">
        <v>23</v>
      </c>
      <c r="D375" s="3" t="s">
        <v>48</v>
      </c>
      <c r="E375" s="3" t="s">
        <v>49</v>
      </c>
      <c r="F375" s="3" t="s">
        <v>25</v>
      </c>
      <c r="G375" s="3" t="s">
        <v>25</v>
      </c>
      <c r="H375" s="3" t="s">
        <v>25</v>
      </c>
      <c r="I375" s="6">
        <v>44652</v>
      </c>
      <c r="J375" s="4">
        <v>0</v>
      </c>
      <c r="K375" s="58">
        <v>0</v>
      </c>
      <c r="L375" s="4">
        <v>19.263999999999999</v>
      </c>
      <c r="M375" s="58">
        <v>19.263999999999999</v>
      </c>
      <c r="N375" s="4">
        <v>19.263999999999999</v>
      </c>
      <c r="O375" s="58">
        <v>19.263999999999999</v>
      </c>
      <c r="P375" s="4">
        <v>4</v>
      </c>
      <c r="Q375" s="3" t="s">
        <v>26</v>
      </c>
      <c r="R375" s="3">
        <v>0</v>
      </c>
      <c r="S375" s="4">
        <v>0</v>
      </c>
      <c r="T375" s="4">
        <v>46</v>
      </c>
      <c r="U375" s="4">
        <v>84</v>
      </c>
      <c r="V375" s="58">
        <f>IF(ISERROR(VLOOKUP($S$375,'TAR FIN'!$A$1:$O$88,15,0)),0,VLOOKUP($S$375,'TAR FIN'!$A$1:$O$88,15,0))</f>
        <v>0</v>
      </c>
      <c r="W375" s="58">
        <f>IF(ISERROR(VLOOKUP($T$375,'TAR FIN'!$A$1:$O$88,15,0)),0,VLOOKUP($T$375,'TAR FIN'!$A$1:$O$88,15,0))*(1-0.06)</f>
        <v>287.8186</v>
      </c>
      <c r="X375" s="58">
        <f>IF(ISERROR(VLOOKUP($U$375,'TAR FIN'!$A$1:$O$88,15,0)),0,VLOOKUP($U$375,'TAR FIN'!$A$1:$O$88,15,0))*(1-0.06)</f>
        <v>227.80899999999997</v>
      </c>
      <c r="Y375" s="58"/>
      <c r="Z375" s="58">
        <f ca="1">('TUSD BE'!$AM$48+'TUSD BF'!$AM$48+'TUSD CVA'!$AM$48)*1*(1-0.03)</f>
        <v>434.58098249419061</v>
      </c>
      <c r="AA375" s="58">
        <f>('TE BE'!$AB$38+'TE BF'!$AB$38+'TE CVA'!$AB$38)*1*(1-0.03)</f>
        <v>185.27728864126183</v>
      </c>
      <c r="AB375" s="4">
        <f>$K$375*$V$375</f>
        <v>0</v>
      </c>
      <c r="AC375" s="4">
        <f>$M$375*$W$375</f>
        <v>5544.5375103999995</v>
      </c>
      <c r="AD375" s="4">
        <f>$O$375*$X$375</f>
        <v>4388.5125759999992</v>
      </c>
      <c r="AE375" s="4">
        <f>$K$375*$Y$375</f>
        <v>0</v>
      </c>
      <c r="AF375" s="4">
        <f ca="1">$M$375*$Z$375</f>
        <v>8371.7680467680875</v>
      </c>
      <c r="AG375" s="4">
        <f>$O$375*$AA$375</f>
        <v>3569.181688385268</v>
      </c>
    </row>
    <row r="376" spans="1:33" ht="11.25" customHeight="1" x14ac:dyDescent="0.3">
      <c r="A376" s="3" t="s">
        <v>21</v>
      </c>
      <c r="B376" s="3" t="s">
        <v>33</v>
      </c>
      <c r="C376" s="3" t="s">
        <v>23</v>
      </c>
      <c r="D376" s="3" t="s">
        <v>48</v>
      </c>
      <c r="E376" s="3" t="s">
        <v>49</v>
      </c>
      <c r="F376" s="3" t="s">
        <v>25</v>
      </c>
      <c r="G376" s="3" t="s">
        <v>25</v>
      </c>
      <c r="H376" s="3" t="s">
        <v>25</v>
      </c>
      <c r="I376" s="6">
        <v>44682</v>
      </c>
      <c r="J376" s="4">
        <v>0</v>
      </c>
      <c r="K376" s="58">
        <v>0</v>
      </c>
      <c r="L376" s="4">
        <v>18.681999999999999</v>
      </c>
      <c r="M376" s="58">
        <v>18.681999999999999</v>
      </c>
      <c r="N376" s="4">
        <v>18.681999999999999</v>
      </c>
      <c r="O376" s="58">
        <v>18.681999999999999</v>
      </c>
      <c r="P376" s="4">
        <v>4</v>
      </c>
      <c r="Q376" s="3" t="s">
        <v>26</v>
      </c>
      <c r="R376" s="3">
        <v>0</v>
      </c>
      <c r="S376" s="4">
        <v>0</v>
      </c>
      <c r="T376" s="4">
        <v>46</v>
      </c>
      <c r="U376" s="4">
        <v>84</v>
      </c>
      <c r="V376" s="58">
        <f>IF(ISERROR(VLOOKUP($S$376,'TAR FIN'!$A$1:$O$88,15,0)),0,VLOOKUP($S$376,'TAR FIN'!$A$1:$O$88,15,0))</f>
        <v>0</v>
      </c>
      <c r="W376" s="58">
        <f>IF(ISERROR(VLOOKUP($T$376,'TAR FIN'!$A$1:$O$88,15,0)),0,VLOOKUP($T$376,'TAR FIN'!$A$1:$O$88,15,0))*(1-0.06)</f>
        <v>287.8186</v>
      </c>
      <c r="X376" s="58">
        <f>IF(ISERROR(VLOOKUP($U$376,'TAR FIN'!$A$1:$O$88,15,0)),0,VLOOKUP($U$376,'TAR FIN'!$A$1:$O$88,15,0))*(1-0.06)</f>
        <v>227.80899999999997</v>
      </c>
      <c r="Y376" s="58"/>
      <c r="Z376" s="58">
        <f ca="1">('TUSD BE'!$AM$48+'TUSD BF'!$AM$48+'TUSD CVA'!$AM$48)*1*(1-0.03)</f>
        <v>434.58098249419061</v>
      </c>
      <c r="AA376" s="58">
        <f>('TE BE'!$AB$38+'TE BF'!$AB$38+'TE CVA'!$AB$38)*1*(1-0.03)</f>
        <v>185.27728864126183</v>
      </c>
      <c r="AB376" s="4">
        <f>$K$376*$V$376</f>
        <v>0</v>
      </c>
      <c r="AC376" s="4">
        <f>$M$376*$W$376</f>
        <v>5377.0270851999994</v>
      </c>
      <c r="AD376" s="4">
        <f>$O$376*$X$376</f>
        <v>4255.9277379999994</v>
      </c>
      <c r="AE376" s="4">
        <f>$K$376*$Y$376</f>
        <v>0</v>
      </c>
      <c r="AF376" s="4">
        <f ca="1">$M$376*$Z$376</f>
        <v>8118.8419149564679</v>
      </c>
      <c r="AG376" s="4">
        <f>$O$376*$AA$376</f>
        <v>3461.3503063960534</v>
      </c>
    </row>
    <row r="377" spans="1:33" ht="11.25" customHeight="1" x14ac:dyDescent="0.3">
      <c r="A377" s="3" t="s">
        <v>21</v>
      </c>
      <c r="B377" s="3" t="s">
        <v>33</v>
      </c>
      <c r="C377" s="3" t="s">
        <v>23</v>
      </c>
      <c r="D377" s="3" t="s">
        <v>48</v>
      </c>
      <c r="E377" s="3" t="s">
        <v>49</v>
      </c>
      <c r="F377" s="3" t="s">
        <v>25</v>
      </c>
      <c r="G377" s="3" t="s">
        <v>25</v>
      </c>
      <c r="H377" s="3" t="s">
        <v>25</v>
      </c>
      <c r="I377" s="6">
        <v>44713</v>
      </c>
      <c r="J377" s="4">
        <v>0</v>
      </c>
      <c r="K377" s="58">
        <v>0</v>
      </c>
      <c r="L377" s="4">
        <v>20.315000000000001</v>
      </c>
      <c r="M377" s="58">
        <v>20.315000000000001</v>
      </c>
      <c r="N377" s="4">
        <v>20.315000000000001</v>
      </c>
      <c r="O377" s="58">
        <v>20.315000000000001</v>
      </c>
      <c r="P377" s="4">
        <v>4</v>
      </c>
      <c r="Q377" s="3" t="s">
        <v>26</v>
      </c>
      <c r="R377" s="3">
        <v>0</v>
      </c>
      <c r="S377" s="4">
        <v>0</v>
      </c>
      <c r="T377" s="4">
        <v>46</v>
      </c>
      <c r="U377" s="4">
        <v>84</v>
      </c>
      <c r="V377" s="58">
        <f>IF(ISERROR(VLOOKUP($S$377,'TAR FIN'!$A$1:$O$88,15,0)),0,VLOOKUP($S$377,'TAR FIN'!$A$1:$O$88,15,0))</f>
        <v>0</v>
      </c>
      <c r="W377" s="58">
        <f>IF(ISERROR(VLOOKUP($T$377,'TAR FIN'!$A$1:$O$88,15,0)),0,VLOOKUP($T$377,'TAR FIN'!$A$1:$O$88,15,0))*(1-0.06)</f>
        <v>287.8186</v>
      </c>
      <c r="X377" s="58">
        <f>IF(ISERROR(VLOOKUP($U$377,'TAR FIN'!$A$1:$O$88,15,0)),0,VLOOKUP($U$377,'TAR FIN'!$A$1:$O$88,15,0))*(1-0.06)</f>
        <v>227.80899999999997</v>
      </c>
      <c r="Y377" s="58"/>
      <c r="Z377" s="58">
        <f ca="1">('TUSD BE'!$AM$48+'TUSD BF'!$AM$48+'TUSD CVA'!$AM$48)*1*(1-0.03)</f>
        <v>434.58098249419061</v>
      </c>
      <c r="AA377" s="58">
        <f>('TE BE'!$AB$38+'TE BF'!$AB$38+'TE CVA'!$AB$38)*1*(1-0.03)</f>
        <v>185.27728864126183</v>
      </c>
      <c r="AB377" s="4">
        <f>$K$377*$V$377</f>
        <v>0</v>
      </c>
      <c r="AC377" s="4">
        <f>$M$377*$W$377</f>
        <v>5847.0348590000003</v>
      </c>
      <c r="AD377" s="4">
        <f>$O$377*$X$377</f>
        <v>4627.9398349999992</v>
      </c>
      <c r="AE377" s="4">
        <f>$K$377*$Y$377</f>
        <v>0</v>
      </c>
      <c r="AF377" s="4">
        <f ca="1">$M$377*$Z$377</f>
        <v>8828.5126593694822</v>
      </c>
      <c r="AG377" s="4">
        <f>$O$377*$AA$377</f>
        <v>3763.9081187472343</v>
      </c>
    </row>
    <row r="378" spans="1:33" ht="11.25" customHeight="1" x14ac:dyDescent="0.3">
      <c r="A378" s="3" t="s">
        <v>21</v>
      </c>
      <c r="B378" s="3" t="s">
        <v>33</v>
      </c>
      <c r="C378" s="3" t="s">
        <v>23</v>
      </c>
      <c r="D378" s="3" t="s">
        <v>48</v>
      </c>
      <c r="E378" s="3" t="s">
        <v>49</v>
      </c>
      <c r="F378" s="3" t="s">
        <v>25</v>
      </c>
      <c r="G378" s="3" t="s">
        <v>25</v>
      </c>
      <c r="H378" s="3" t="s">
        <v>25</v>
      </c>
      <c r="I378" s="6">
        <v>44743</v>
      </c>
      <c r="J378" s="4">
        <v>0</v>
      </c>
      <c r="K378" s="58">
        <v>0</v>
      </c>
      <c r="L378" s="4">
        <v>19.311</v>
      </c>
      <c r="M378" s="58">
        <v>19.311</v>
      </c>
      <c r="N378" s="4">
        <v>19.311</v>
      </c>
      <c r="O378" s="58">
        <v>19.311</v>
      </c>
      <c r="P378" s="4">
        <v>4</v>
      </c>
      <c r="Q378" s="3" t="s">
        <v>26</v>
      </c>
      <c r="R378" s="3">
        <v>0</v>
      </c>
      <c r="S378" s="4">
        <v>0</v>
      </c>
      <c r="T378" s="4">
        <v>46</v>
      </c>
      <c r="U378" s="4">
        <v>84</v>
      </c>
      <c r="V378" s="58">
        <f>IF(ISERROR(VLOOKUP($S$378,'TAR FIN'!$A$1:$O$88,15,0)),0,VLOOKUP($S$378,'TAR FIN'!$A$1:$O$88,15,0))</f>
        <v>0</v>
      </c>
      <c r="W378" s="58">
        <f>IF(ISERROR(VLOOKUP($T$378,'TAR FIN'!$A$1:$O$88,15,0)),0,VLOOKUP($T$378,'TAR FIN'!$A$1:$O$88,15,0))*(1-0.06)</f>
        <v>287.8186</v>
      </c>
      <c r="X378" s="58">
        <f>IF(ISERROR(VLOOKUP($U$378,'TAR FIN'!$A$1:$O$88,15,0)),0,VLOOKUP($U$378,'TAR FIN'!$A$1:$O$88,15,0))*(1-0.06)</f>
        <v>227.80899999999997</v>
      </c>
      <c r="Y378" s="58"/>
      <c r="Z378" s="58">
        <f ca="1">('TUSD BE'!$AM$48+'TUSD BF'!$AM$48+'TUSD CVA'!$AM$48)*1*(1-0.03)</f>
        <v>434.58098249419061</v>
      </c>
      <c r="AA378" s="58">
        <f>('TE BE'!$AB$38+'TE BF'!$AB$38+'TE CVA'!$AB$38)*1*(1-0.03)</f>
        <v>185.27728864126183</v>
      </c>
      <c r="AB378" s="4">
        <f>$K$378*$V$378</f>
        <v>0</v>
      </c>
      <c r="AC378" s="4">
        <f>$M$378*$W$378</f>
        <v>5558.0649845999997</v>
      </c>
      <c r="AD378" s="4">
        <f>$O$378*$X$378</f>
        <v>4399.2195989999991</v>
      </c>
      <c r="AE378" s="4">
        <f>$K$378*$Y$378</f>
        <v>0</v>
      </c>
      <c r="AF378" s="4">
        <f ca="1">$M$378*$Z$378</f>
        <v>8392.1933529453145</v>
      </c>
      <c r="AG378" s="4">
        <f>$O$378*$AA$378</f>
        <v>3577.8897209514071</v>
      </c>
    </row>
    <row r="379" spans="1:33" ht="11.25" customHeight="1" x14ac:dyDescent="0.3">
      <c r="A379" s="3" t="s">
        <v>55</v>
      </c>
      <c r="B379" s="3" t="s">
        <v>33</v>
      </c>
      <c r="C379" s="3" t="s">
        <v>23</v>
      </c>
      <c r="D379" s="3" t="s">
        <v>48</v>
      </c>
      <c r="E379" s="3" t="s">
        <v>49</v>
      </c>
      <c r="F379" s="3" t="s">
        <v>25</v>
      </c>
      <c r="G379" s="3" t="s">
        <v>25</v>
      </c>
      <c r="H379" s="3" t="s">
        <v>25</v>
      </c>
      <c r="I379" s="6">
        <v>44774</v>
      </c>
      <c r="J379" s="4">
        <v>0</v>
      </c>
      <c r="K379" s="58">
        <v>0</v>
      </c>
      <c r="L379" s="4">
        <v>19.311</v>
      </c>
      <c r="M379" s="58">
        <v>19.311</v>
      </c>
      <c r="N379" s="4">
        <v>19.311</v>
      </c>
      <c r="O379" s="58">
        <v>19.311</v>
      </c>
      <c r="P379" s="4">
        <v>4</v>
      </c>
      <c r="Q379" s="3" t="s">
        <v>26</v>
      </c>
      <c r="R379" s="3">
        <v>0</v>
      </c>
      <c r="S379" s="4">
        <v>0</v>
      </c>
      <c r="T379" s="4">
        <v>46</v>
      </c>
      <c r="U379" s="4">
        <v>84</v>
      </c>
      <c r="V379" s="58">
        <f>IF(ISERROR(VLOOKUP($S$379,'TAR FIN'!$A$1:$O$88,15,0)),0,VLOOKUP($S$379,'TAR FIN'!$A$1:$O$88,15,0))</f>
        <v>0</v>
      </c>
      <c r="W379" s="58">
        <f>IF(ISERROR(VLOOKUP($T$379,'TAR FIN'!$A$1:$O$88,15,0)),0,VLOOKUP($T$379,'TAR FIN'!$A$1:$O$88,15,0))*(1-0.06)</f>
        <v>287.8186</v>
      </c>
      <c r="X379" s="58">
        <f>IF(ISERROR(VLOOKUP($U$379,'TAR FIN'!$A$1:$O$88,15,0)),0,VLOOKUP($U$379,'TAR FIN'!$A$1:$O$88,15,0))*(1-0.06)</f>
        <v>227.80899999999997</v>
      </c>
      <c r="Y379" s="58"/>
      <c r="Z379" s="58">
        <f ca="1">('TUSD BE'!$AM$48+'TUSD BF'!$AM$48+'TUSD CVA'!$AM$48)*1*(1-0.03)</f>
        <v>434.58098249419061</v>
      </c>
      <c r="AA379" s="58">
        <f>('TE BE'!$AB$38+'TE BF'!$AB$38+'TE CVA'!$AB$38)*1*(1-0.03)</f>
        <v>185.27728864126183</v>
      </c>
      <c r="AB379" s="4">
        <f>$K$379*$V$379</f>
        <v>0</v>
      </c>
      <c r="AC379" s="4">
        <f>$M$379*$W$379</f>
        <v>5558.0649845999997</v>
      </c>
      <c r="AD379" s="4">
        <f>$O$379*$X$379</f>
        <v>4399.2195989999991</v>
      </c>
      <c r="AE379" s="4">
        <f>$K$379*$Y$379</f>
        <v>0</v>
      </c>
      <c r="AF379" s="4">
        <f ca="1">$M$379*$Z$379</f>
        <v>8392.1933529453145</v>
      </c>
      <c r="AG379" s="4">
        <f>$O$379*$AA$379</f>
        <v>3577.8897209514071</v>
      </c>
    </row>
    <row r="380" spans="1:33" ht="11.25" customHeight="1" x14ac:dyDescent="0.3">
      <c r="A380" s="3" t="s">
        <v>21</v>
      </c>
      <c r="B380" s="3" t="s">
        <v>45</v>
      </c>
      <c r="C380" s="3" t="s">
        <v>23</v>
      </c>
      <c r="D380" s="3" t="s">
        <v>46</v>
      </c>
      <c r="E380" s="3" t="s">
        <v>47</v>
      </c>
      <c r="F380" s="3" t="s">
        <v>25</v>
      </c>
      <c r="G380" s="3" t="s">
        <v>25</v>
      </c>
      <c r="H380" s="3" t="s">
        <v>25</v>
      </c>
      <c r="I380" s="6">
        <v>44440</v>
      </c>
      <c r="J380" s="4">
        <v>0</v>
      </c>
      <c r="K380" s="4">
        <v>0</v>
      </c>
      <c r="L380" s="4">
        <v>96.787000000000006</v>
      </c>
      <c r="M380" s="4">
        <v>96.787000000000006</v>
      </c>
      <c r="N380" s="4">
        <v>96.787000000000006</v>
      </c>
      <c r="O380" s="4">
        <v>96.787000000000006</v>
      </c>
      <c r="P380" s="4">
        <v>88</v>
      </c>
      <c r="Q380" s="3" t="s">
        <v>26</v>
      </c>
      <c r="R380" s="3">
        <v>0</v>
      </c>
      <c r="S380" s="4">
        <v>0</v>
      </c>
      <c r="T380" s="4">
        <v>48</v>
      </c>
      <c r="U380" s="4">
        <v>86</v>
      </c>
      <c r="V380" s="4">
        <f>IF(ISERROR(VLOOKUP($S$380,'TAR FIN'!$A$1:$O$88,15,0)),0,VLOOKUP($S$380,'TAR FIN'!$A$1:$O$88,15,0))</f>
        <v>0</v>
      </c>
      <c r="W380" s="4">
        <f>IF(ISERROR(VLOOKUP($T$380,'TAR FIN'!$A$1:$O$88,15,0)),0,VLOOKUP($T$380,'TAR FIN'!$A$1:$O$88,15,0))</f>
        <v>168.4</v>
      </c>
      <c r="X380" s="4">
        <f>IF(ISERROR(VLOOKUP($U$380,'TAR FIN'!$A$1:$O$88,15,0)),0,VLOOKUP($U$380,'TAR FIN'!$A$1:$O$88,15,0))</f>
        <v>133.29</v>
      </c>
      <c r="Y380" s="4"/>
      <c r="Z380" s="4">
        <f ca="1">('TUSD BE'!$AM$50+'TUSD BF'!$AM$50+'TUSD CVA'!$AM$50)*1</f>
        <v>246.41189729052047</v>
      </c>
      <c r="AA380" s="4">
        <f>('TE BE'!$AB$40+'TE BF'!$AB$40+'TE CVA'!$AB$40)*1</f>
        <v>105.05413273473611</v>
      </c>
      <c r="AB380" s="4">
        <f>$K$380*$V$380</f>
        <v>0</v>
      </c>
      <c r="AC380" s="4">
        <f>$M$380*$W$380</f>
        <v>16298.930800000002</v>
      </c>
      <c r="AD380" s="4">
        <f>$O$380*$X$380</f>
        <v>12900.739229999999</v>
      </c>
      <c r="AE380" s="4">
        <f>$K$380*$Y$380</f>
        <v>0</v>
      </c>
      <c r="AF380" s="4">
        <f ca="1">$M$380*$Z$380</f>
        <v>23849.468303057605</v>
      </c>
      <c r="AG380" s="4">
        <f>$O$380*$AA$380</f>
        <v>10167.874344996904</v>
      </c>
    </row>
    <row r="381" spans="1:33" ht="11.25" customHeight="1" x14ac:dyDescent="0.3">
      <c r="A381" s="3" t="s">
        <v>21</v>
      </c>
      <c r="B381" s="3" t="s">
        <v>45</v>
      </c>
      <c r="C381" s="3" t="s">
        <v>23</v>
      </c>
      <c r="D381" s="3" t="s">
        <v>46</v>
      </c>
      <c r="E381" s="3" t="s">
        <v>47</v>
      </c>
      <c r="F381" s="3" t="s">
        <v>25</v>
      </c>
      <c r="G381" s="3" t="s">
        <v>25</v>
      </c>
      <c r="H381" s="3" t="s">
        <v>25</v>
      </c>
      <c r="I381" s="6">
        <v>44470</v>
      </c>
      <c r="J381" s="4">
        <v>0</v>
      </c>
      <c r="K381" s="4">
        <v>0</v>
      </c>
      <c r="L381" s="4">
        <v>99.171999999999997</v>
      </c>
      <c r="M381" s="4">
        <v>99.171999999999997</v>
      </c>
      <c r="N381" s="4">
        <v>99.171999999999997</v>
      </c>
      <c r="O381" s="4">
        <v>99.171999999999997</v>
      </c>
      <c r="P381" s="4">
        <v>88</v>
      </c>
      <c r="Q381" s="3" t="s">
        <v>26</v>
      </c>
      <c r="R381" s="3">
        <v>0</v>
      </c>
      <c r="S381" s="4">
        <v>0</v>
      </c>
      <c r="T381" s="4">
        <v>48</v>
      </c>
      <c r="U381" s="4">
        <v>86</v>
      </c>
      <c r="V381" s="4">
        <f>IF(ISERROR(VLOOKUP($S$381,'TAR FIN'!$A$1:$O$88,15,0)),0,VLOOKUP($S$381,'TAR FIN'!$A$1:$O$88,15,0))</f>
        <v>0</v>
      </c>
      <c r="W381" s="4">
        <f>IF(ISERROR(VLOOKUP($T$381,'TAR FIN'!$A$1:$O$88,15,0)),0,VLOOKUP($T$381,'TAR FIN'!$A$1:$O$88,15,0))</f>
        <v>168.4</v>
      </c>
      <c r="X381" s="4">
        <f>IF(ISERROR(VLOOKUP($U$381,'TAR FIN'!$A$1:$O$88,15,0)),0,VLOOKUP($U$381,'TAR FIN'!$A$1:$O$88,15,0))</f>
        <v>133.29</v>
      </c>
      <c r="Y381" s="4"/>
      <c r="Z381" s="4">
        <f ca="1">('TUSD BE'!$AM$50+'TUSD BF'!$AM$50+'TUSD CVA'!$AM$50)*1</f>
        <v>246.41189729052047</v>
      </c>
      <c r="AA381" s="4">
        <f>('TE BE'!$AB$40+'TE BF'!$AB$40+'TE CVA'!$AB$40)*1</f>
        <v>105.05413273473611</v>
      </c>
      <c r="AB381" s="4">
        <f>$K$381*$V$381</f>
        <v>0</v>
      </c>
      <c r="AC381" s="4">
        <f>$M$381*$W$381</f>
        <v>16700.5648</v>
      </c>
      <c r="AD381" s="4">
        <f>$O$381*$X$381</f>
        <v>13218.635879999998</v>
      </c>
      <c r="AE381" s="4">
        <f>$K$381*$Y$381</f>
        <v>0</v>
      </c>
      <c r="AF381" s="4">
        <f ca="1">$M$381*$Z$381</f>
        <v>24437.160678095497</v>
      </c>
      <c r="AG381" s="4">
        <f>$O$381*$AA$381</f>
        <v>10418.428451569249</v>
      </c>
    </row>
    <row r="382" spans="1:33" ht="11.25" customHeight="1" x14ac:dyDescent="0.3">
      <c r="A382" s="3" t="s">
        <v>21</v>
      </c>
      <c r="B382" s="3" t="s">
        <v>45</v>
      </c>
      <c r="C382" s="3" t="s">
        <v>23</v>
      </c>
      <c r="D382" s="3" t="s">
        <v>46</v>
      </c>
      <c r="E382" s="3" t="s">
        <v>47</v>
      </c>
      <c r="F382" s="3" t="s">
        <v>25</v>
      </c>
      <c r="G382" s="3" t="s">
        <v>25</v>
      </c>
      <c r="H382" s="3" t="s">
        <v>25</v>
      </c>
      <c r="I382" s="6">
        <v>44501</v>
      </c>
      <c r="J382" s="4">
        <v>0</v>
      </c>
      <c r="K382" s="4">
        <v>0</v>
      </c>
      <c r="L382" s="4">
        <v>90.504000000000005</v>
      </c>
      <c r="M382" s="4">
        <v>90.504000000000005</v>
      </c>
      <c r="N382" s="4">
        <v>90.504000000000005</v>
      </c>
      <c r="O382" s="4">
        <v>90.504000000000005</v>
      </c>
      <c r="P382" s="4">
        <v>88</v>
      </c>
      <c r="Q382" s="3" t="s">
        <v>26</v>
      </c>
      <c r="R382" s="3">
        <v>0</v>
      </c>
      <c r="S382" s="4">
        <v>0</v>
      </c>
      <c r="T382" s="4">
        <v>48</v>
      </c>
      <c r="U382" s="4">
        <v>86</v>
      </c>
      <c r="V382" s="4">
        <f>IF(ISERROR(VLOOKUP($S$382,'TAR FIN'!$A$1:$O$88,15,0)),0,VLOOKUP($S$382,'TAR FIN'!$A$1:$O$88,15,0))</f>
        <v>0</v>
      </c>
      <c r="W382" s="4">
        <f>IF(ISERROR(VLOOKUP($T$382,'TAR FIN'!$A$1:$O$88,15,0)),0,VLOOKUP($T$382,'TAR FIN'!$A$1:$O$88,15,0))</f>
        <v>168.4</v>
      </c>
      <c r="X382" s="4">
        <f>IF(ISERROR(VLOOKUP($U$382,'TAR FIN'!$A$1:$O$88,15,0)),0,VLOOKUP($U$382,'TAR FIN'!$A$1:$O$88,15,0))</f>
        <v>133.29</v>
      </c>
      <c r="Y382" s="4"/>
      <c r="Z382" s="4">
        <f ca="1">('TUSD BE'!$AM$50+'TUSD BF'!$AM$50+'TUSD CVA'!$AM$50)*1</f>
        <v>246.41189729052047</v>
      </c>
      <c r="AA382" s="4">
        <f>('TE BE'!$AB$40+'TE BF'!$AB$40+'TE CVA'!$AB$40)*1</f>
        <v>105.05413273473611</v>
      </c>
      <c r="AB382" s="4">
        <f>$K$382*$V$382</f>
        <v>0</v>
      </c>
      <c r="AC382" s="4">
        <f>$M$382*$W$382</f>
        <v>15240.873600000001</v>
      </c>
      <c r="AD382" s="4">
        <f>$O$382*$X$382</f>
        <v>12063.27816</v>
      </c>
      <c r="AE382" s="4">
        <f>$K$382*$Y$382</f>
        <v>0</v>
      </c>
      <c r="AF382" s="4">
        <f ca="1">$M$382*$Z$382</f>
        <v>22301.262352381265</v>
      </c>
      <c r="AG382" s="4">
        <f>$O$382*$AA$382</f>
        <v>9507.819229024557</v>
      </c>
    </row>
    <row r="383" spans="1:33" ht="11.25" customHeight="1" x14ac:dyDescent="0.3">
      <c r="A383" s="3" t="s">
        <v>21</v>
      </c>
      <c r="B383" s="3" t="s">
        <v>45</v>
      </c>
      <c r="C383" s="3" t="s">
        <v>23</v>
      </c>
      <c r="D383" s="3" t="s">
        <v>46</v>
      </c>
      <c r="E383" s="3" t="s">
        <v>47</v>
      </c>
      <c r="F383" s="3" t="s">
        <v>25</v>
      </c>
      <c r="G383" s="3" t="s">
        <v>25</v>
      </c>
      <c r="H383" s="3" t="s">
        <v>25</v>
      </c>
      <c r="I383" s="6">
        <v>44531</v>
      </c>
      <c r="J383" s="4">
        <v>0</v>
      </c>
      <c r="K383" s="4">
        <v>0</v>
      </c>
      <c r="L383" s="4">
        <v>94.962000000000003</v>
      </c>
      <c r="M383" s="4">
        <v>94.962000000000003</v>
      </c>
      <c r="N383" s="4">
        <v>94.962000000000003</v>
      </c>
      <c r="O383" s="4">
        <v>94.962000000000003</v>
      </c>
      <c r="P383" s="4">
        <v>88</v>
      </c>
      <c r="Q383" s="3" t="s">
        <v>26</v>
      </c>
      <c r="R383" s="3">
        <v>0</v>
      </c>
      <c r="S383" s="4">
        <v>0</v>
      </c>
      <c r="T383" s="4">
        <v>48</v>
      </c>
      <c r="U383" s="4">
        <v>86</v>
      </c>
      <c r="V383" s="4">
        <f>IF(ISERROR(VLOOKUP($S$383,'TAR FIN'!$A$1:$O$88,15,0)),0,VLOOKUP($S$383,'TAR FIN'!$A$1:$O$88,15,0))</f>
        <v>0</v>
      </c>
      <c r="W383" s="4">
        <f>IF(ISERROR(VLOOKUP($T$383,'TAR FIN'!$A$1:$O$88,15,0)),0,VLOOKUP($T$383,'TAR FIN'!$A$1:$O$88,15,0))</f>
        <v>168.4</v>
      </c>
      <c r="X383" s="4">
        <f>IF(ISERROR(VLOOKUP($U$383,'TAR FIN'!$A$1:$O$88,15,0)),0,VLOOKUP($U$383,'TAR FIN'!$A$1:$O$88,15,0))</f>
        <v>133.29</v>
      </c>
      <c r="Y383" s="4"/>
      <c r="Z383" s="4">
        <f ca="1">('TUSD BE'!$AM$50+'TUSD BF'!$AM$50+'TUSD CVA'!$AM$50)*1</f>
        <v>246.41189729052047</v>
      </c>
      <c r="AA383" s="4">
        <f>('TE BE'!$AB$40+'TE BF'!$AB$40+'TE CVA'!$AB$40)*1</f>
        <v>105.05413273473611</v>
      </c>
      <c r="AB383" s="4">
        <f>$K$383*$V$383</f>
        <v>0</v>
      </c>
      <c r="AC383" s="4">
        <f>$M$383*$W$383</f>
        <v>15991.600800000002</v>
      </c>
      <c r="AD383" s="4">
        <f>$O$383*$X$383</f>
        <v>12657.484979999999</v>
      </c>
      <c r="AE383" s="4">
        <f>$K$383*$Y$383</f>
        <v>0</v>
      </c>
      <c r="AF383" s="4">
        <f ca="1">$M$383*$Z$383</f>
        <v>23399.766590502404</v>
      </c>
      <c r="AG383" s="4">
        <f>$O$383*$AA$383</f>
        <v>9976.1505527560112</v>
      </c>
    </row>
    <row r="384" spans="1:33" ht="11.25" customHeight="1" x14ac:dyDescent="0.3">
      <c r="A384" s="3" t="s">
        <v>21</v>
      </c>
      <c r="B384" s="3" t="s">
        <v>45</v>
      </c>
      <c r="C384" s="3" t="s">
        <v>23</v>
      </c>
      <c r="D384" s="3" t="s">
        <v>46</v>
      </c>
      <c r="E384" s="3" t="s">
        <v>47</v>
      </c>
      <c r="F384" s="3" t="s">
        <v>25</v>
      </c>
      <c r="G384" s="3" t="s">
        <v>25</v>
      </c>
      <c r="H384" s="3" t="s">
        <v>25</v>
      </c>
      <c r="I384" s="6">
        <v>44562</v>
      </c>
      <c r="J384" s="4">
        <v>0</v>
      </c>
      <c r="K384" s="4">
        <v>0</v>
      </c>
      <c r="L384" s="4">
        <v>92.894000000000005</v>
      </c>
      <c r="M384" s="4">
        <v>92.894000000000005</v>
      </c>
      <c r="N384" s="4">
        <v>92.894000000000005</v>
      </c>
      <c r="O384" s="4">
        <v>92.894000000000005</v>
      </c>
      <c r="P384" s="4">
        <v>88</v>
      </c>
      <c r="Q384" s="3" t="s">
        <v>26</v>
      </c>
      <c r="R384" s="3">
        <v>0</v>
      </c>
      <c r="S384" s="4">
        <v>0</v>
      </c>
      <c r="T384" s="4">
        <v>48</v>
      </c>
      <c r="U384" s="4">
        <v>86</v>
      </c>
      <c r="V384" s="4">
        <f>IF(ISERROR(VLOOKUP($S$384,'TAR FIN'!$A$1:$O$88,15,0)),0,VLOOKUP($S$384,'TAR FIN'!$A$1:$O$88,15,0))</f>
        <v>0</v>
      </c>
      <c r="W384" s="4">
        <f>IF(ISERROR(VLOOKUP($T$384,'TAR FIN'!$A$1:$O$88,15,0)),0,VLOOKUP($T$384,'TAR FIN'!$A$1:$O$88,15,0))</f>
        <v>168.4</v>
      </c>
      <c r="X384" s="4">
        <f>IF(ISERROR(VLOOKUP($U$384,'TAR FIN'!$A$1:$O$88,15,0)),0,VLOOKUP($U$384,'TAR FIN'!$A$1:$O$88,15,0))</f>
        <v>133.29</v>
      </c>
      <c r="Y384" s="4"/>
      <c r="Z384" s="4">
        <f ca="1">('TUSD BE'!$AM$50+'TUSD BF'!$AM$50+'TUSD CVA'!$AM$50)*1</f>
        <v>246.41189729052047</v>
      </c>
      <c r="AA384" s="4">
        <f>('TE BE'!$AB$40+'TE BF'!$AB$40+'TE CVA'!$AB$40)*1</f>
        <v>105.05413273473611</v>
      </c>
      <c r="AB384" s="4">
        <f>$K$384*$V$384</f>
        <v>0</v>
      </c>
      <c r="AC384" s="4">
        <f>$M$384*$W$384</f>
        <v>15643.349600000001</v>
      </c>
      <c r="AD384" s="4">
        <f>$O$384*$X$384</f>
        <v>12381.841259999999</v>
      </c>
      <c r="AE384" s="4">
        <f>$K$384*$Y$384</f>
        <v>0</v>
      </c>
      <c r="AF384" s="4">
        <f ca="1">$M$384*$Z$384</f>
        <v>22890.186786905611</v>
      </c>
      <c r="AG384" s="4">
        <f>$O$384*$AA$384</f>
        <v>9758.8986062605763</v>
      </c>
    </row>
    <row r="385" spans="1:33" ht="11.25" customHeight="1" x14ac:dyDescent="0.3">
      <c r="A385" s="3" t="s">
        <v>21</v>
      </c>
      <c r="B385" s="3" t="s">
        <v>45</v>
      </c>
      <c r="C385" s="3" t="s">
        <v>23</v>
      </c>
      <c r="D385" s="3" t="s">
        <v>46</v>
      </c>
      <c r="E385" s="3" t="s">
        <v>47</v>
      </c>
      <c r="F385" s="3" t="s">
        <v>25</v>
      </c>
      <c r="G385" s="3" t="s">
        <v>25</v>
      </c>
      <c r="H385" s="3" t="s">
        <v>25</v>
      </c>
      <c r="I385" s="6">
        <v>44593</v>
      </c>
      <c r="J385" s="4">
        <v>0</v>
      </c>
      <c r="K385" s="4">
        <v>0</v>
      </c>
      <c r="L385" s="4">
        <v>92.475999999999999</v>
      </c>
      <c r="M385" s="4">
        <v>92.475999999999999</v>
      </c>
      <c r="N385" s="4">
        <v>92.475999999999999</v>
      </c>
      <c r="O385" s="4">
        <v>92.475999999999999</v>
      </c>
      <c r="P385" s="4">
        <v>88</v>
      </c>
      <c r="Q385" s="3" t="s">
        <v>26</v>
      </c>
      <c r="R385" s="3">
        <v>0</v>
      </c>
      <c r="S385" s="4">
        <v>0</v>
      </c>
      <c r="T385" s="4">
        <v>48</v>
      </c>
      <c r="U385" s="4">
        <v>86</v>
      </c>
      <c r="V385" s="4">
        <f>IF(ISERROR(VLOOKUP($S$385,'TAR FIN'!$A$1:$O$88,15,0)),0,VLOOKUP($S$385,'TAR FIN'!$A$1:$O$88,15,0))</f>
        <v>0</v>
      </c>
      <c r="W385" s="4">
        <f>IF(ISERROR(VLOOKUP($T$385,'TAR FIN'!$A$1:$O$88,15,0)),0,VLOOKUP($T$385,'TAR FIN'!$A$1:$O$88,15,0))</f>
        <v>168.4</v>
      </c>
      <c r="X385" s="4">
        <f>IF(ISERROR(VLOOKUP($U$385,'TAR FIN'!$A$1:$O$88,15,0)),0,VLOOKUP($U$385,'TAR FIN'!$A$1:$O$88,15,0))</f>
        <v>133.29</v>
      </c>
      <c r="Y385" s="4"/>
      <c r="Z385" s="4">
        <f ca="1">('TUSD BE'!$AM$50+'TUSD BF'!$AM$50+'TUSD CVA'!$AM$50)*1</f>
        <v>246.41189729052047</v>
      </c>
      <c r="AA385" s="4">
        <f>('TE BE'!$AB$40+'TE BF'!$AB$40+'TE CVA'!$AB$40)*1</f>
        <v>105.05413273473611</v>
      </c>
      <c r="AB385" s="4">
        <f>$K$385*$V$385</f>
        <v>0</v>
      </c>
      <c r="AC385" s="4">
        <f>$M$385*$W$385</f>
        <v>15572.9584</v>
      </c>
      <c r="AD385" s="4">
        <f>$O$385*$X$385</f>
        <v>12326.126039999999</v>
      </c>
      <c r="AE385" s="4">
        <f>$K$385*$Y$385</f>
        <v>0</v>
      </c>
      <c r="AF385" s="4">
        <f ca="1">$M$385*$Z$385</f>
        <v>22787.18661383817</v>
      </c>
      <c r="AG385" s="4">
        <f>$O$385*$AA$385</f>
        <v>9714.9859787774567</v>
      </c>
    </row>
    <row r="386" spans="1:33" ht="11.25" customHeight="1" x14ac:dyDescent="0.3">
      <c r="A386" s="3" t="s">
        <v>21</v>
      </c>
      <c r="B386" s="3" t="s">
        <v>45</v>
      </c>
      <c r="C386" s="3" t="s">
        <v>23</v>
      </c>
      <c r="D386" s="3" t="s">
        <v>46</v>
      </c>
      <c r="E386" s="3" t="s">
        <v>47</v>
      </c>
      <c r="F386" s="3" t="s">
        <v>25</v>
      </c>
      <c r="G386" s="3" t="s">
        <v>25</v>
      </c>
      <c r="H386" s="3" t="s">
        <v>25</v>
      </c>
      <c r="I386" s="6">
        <v>44621</v>
      </c>
      <c r="J386" s="4">
        <v>0</v>
      </c>
      <c r="K386" s="4">
        <v>0</v>
      </c>
      <c r="L386" s="4">
        <v>92.998999999999995</v>
      </c>
      <c r="M386" s="4">
        <v>92.998999999999995</v>
      </c>
      <c r="N386" s="4">
        <v>92.998999999999995</v>
      </c>
      <c r="O386" s="4">
        <v>92.998999999999995</v>
      </c>
      <c r="P386" s="4">
        <v>88</v>
      </c>
      <c r="Q386" s="3" t="s">
        <v>26</v>
      </c>
      <c r="R386" s="3">
        <v>0</v>
      </c>
      <c r="S386" s="4">
        <v>0</v>
      </c>
      <c r="T386" s="4">
        <v>48</v>
      </c>
      <c r="U386" s="4">
        <v>86</v>
      </c>
      <c r="V386" s="4">
        <f>IF(ISERROR(VLOOKUP($S$386,'TAR FIN'!$A$1:$O$88,15,0)),0,VLOOKUP($S$386,'TAR FIN'!$A$1:$O$88,15,0))</f>
        <v>0</v>
      </c>
      <c r="W386" s="4">
        <f>IF(ISERROR(VLOOKUP($T$386,'TAR FIN'!$A$1:$O$88,15,0)),0,VLOOKUP($T$386,'TAR FIN'!$A$1:$O$88,15,0))</f>
        <v>168.4</v>
      </c>
      <c r="X386" s="4">
        <f>IF(ISERROR(VLOOKUP($U$386,'TAR FIN'!$A$1:$O$88,15,0)),0,VLOOKUP($U$386,'TAR FIN'!$A$1:$O$88,15,0))</f>
        <v>133.29</v>
      </c>
      <c r="Y386" s="4"/>
      <c r="Z386" s="4">
        <f ca="1">('TUSD BE'!$AM$50+'TUSD BF'!$AM$50+'TUSD CVA'!$AM$50)*1</f>
        <v>246.41189729052047</v>
      </c>
      <c r="AA386" s="4">
        <f>('TE BE'!$AB$40+'TE BF'!$AB$40+'TE CVA'!$AB$40)*1</f>
        <v>105.05413273473611</v>
      </c>
      <c r="AB386" s="4">
        <f>$K$386*$V$386</f>
        <v>0</v>
      </c>
      <c r="AC386" s="4">
        <f>$M$386*$W$386</f>
        <v>15661.0316</v>
      </c>
      <c r="AD386" s="4">
        <f>$O$386*$X$386</f>
        <v>12395.836709999998</v>
      </c>
      <c r="AE386" s="4">
        <f>$K$386*$Y$386</f>
        <v>0</v>
      </c>
      <c r="AF386" s="4">
        <f ca="1">$M$386*$Z$386</f>
        <v>22916.060036121111</v>
      </c>
      <c r="AG386" s="4">
        <f>$O$386*$AA$386</f>
        <v>9769.9292901977242</v>
      </c>
    </row>
    <row r="387" spans="1:33" ht="11.25" customHeight="1" x14ac:dyDescent="0.3">
      <c r="A387" s="3" t="s">
        <v>21</v>
      </c>
      <c r="B387" s="3" t="s">
        <v>45</v>
      </c>
      <c r="C387" s="3" t="s">
        <v>23</v>
      </c>
      <c r="D387" s="3" t="s">
        <v>46</v>
      </c>
      <c r="E387" s="3" t="s">
        <v>47</v>
      </c>
      <c r="F387" s="3" t="s">
        <v>25</v>
      </c>
      <c r="G387" s="3" t="s">
        <v>25</v>
      </c>
      <c r="H387" s="3" t="s">
        <v>25</v>
      </c>
      <c r="I387" s="6">
        <v>44652</v>
      </c>
      <c r="J387" s="4">
        <v>0</v>
      </c>
      <c r="K387" s="4">
        <v>0</v>
      </c>
      <c r="L387" s="4">
        <v>100.651</v>
      </c>
      <c r="M387" s="4">
        <v>100.651</v>
      </c>
      <c r="N387" s="4">
        <v>100.651</v>
      </c>
      <c r="O387" s="4">
        <v>100.651</v>
      </c>
      <c r="P387" s="4">
        <v>87</v>
      </c>
      <c r="Q387" s="3" t="s">
        <v>26</v>
      </c>
      <c r="R387" s="3">
        <v>0</v>
      </c>
      <c r="S387" s="4">
        <v>0</v>
      </c>
      <c r="T387" s="4">
        <v>48</v>
      </c>
      <c r="U387" s="4">
        <v>86</v>
      </c>
      <c r="V387" s="4">
        <f>IF(ISERROR(VLOOKUP($S$387,'TAR FIN'!$A$1:$O$88,15,0)),0,VLOOKUP($S$387,'TAR FIN'!$A$1:$O$88,15,0))</f>
        <v>0</v>
      </c>
      <c r="W387" s="4">
        <f>IF(ISERROR(VLOOKUP($T$387,'TAR FIN'!$A$1:$O$88,15,0)),0,VLOOKUP($T$387,'TAR FIN'!$A$1:$O$88,15,0))</f>
        <v>168.4</v>
      </c>
      <c r="X387" s="4">
        <f>IF(ISERROR(VLOOKUP($U$387,'TAR FIN'!$A$1:$O$88,15,0)),0,VLOOKUP($U$387,'TAR FIN'!$A$1:$O$88,15,0))</f>
        <v>133.29</v>
      </c>
      <c r="Y387" s="4"/>
      <c r="Z387" s="4">
        <f ca="1">('TUSD BE'!$AM$50+'TUSD BF'!$AM$50+'TUSD CVA'!$AM$50)*1</f>
        <v>246.41189729052047</v>
      </c>
      <c r="AA387" s="4">
        <f>('TE BE'!$AB$40+'TE BF'!$AB$40+'TE CVA'!$AB$40)*1</f>
        <v>105.05413273473611</v>
      </c>
      <c r="AB387" s="4">
        <f>$K$387*$V$387</f>
        <v>0</v>
      </c>
      <c r="AC387" s="4">
        <f>$M$387*$W$387</f>
        <v>16949.628400000001</v>
      </c>
      <c r="AD387" s="4">
        <f>$O$387*$X$387</f>
        <v>13415.771789999999</v>
      </c>
      <c r="AE387" s="4">
        <f>$K$387*$Y$387</f>
        <v>0</v>
      </c>
      <c r="AF387" s="4">
        <f ca="1">$M$387*$Z$387</f>
        <v>24801.603874188175</v>
      </c>
      <c r="AG387" s="4">
        <f>$O$387*$AA$387</f>
        <v>10573.803513883924</v>
      </c>
    </row>
    <row r="388" spans="1:33" ht="11.25" customHeight="1" x14ac:dyDescent="0.3">
      <c r="A388" s="3" t="s">
        <v>21</v>
      </c>
      <c r="B388" s="3" t="s">
        <v>45</v>
      </c>
      <c r="C388" s="3" t="s">
        <v>23</v>
      </c>
      <c r="D388" s="3" t="s">
        <v>46</v>
      </c>
      <c r="E388" s="3" t="s">
        <v>47</v>
      </c>
      <c r="F388" s="3" t="s">
        <v>25</v>
      </c>
      <c r="G388" s="3" t="s">
        <v>25</v>
      </c>
      <c r="H388" s="3" t="s">
        <v>25</v>
      </c>
      <c r="I388" s="6">
        <v>44682</v>
      </c>
      <c r="J388" s="4">
        <v>0</v>
      </c>
      <c r="K388" s="4">
        <v>0</v>
      </c>
      <c r="L388" s="4">
        <v>103.706</v>
      </c>
      <c r="M388" s="4">
        <v>103.706</v>
      </c>
      <c r="N388" s="4">
        <v>103.706</v>
      </c>
      <c r="O388" s="4">
        <v>103.706</v>
      </c>
      <c r="P388" s="4">
        <v>87</v>
      </c>
      <c r="Q388" s="3" t="s">
        <v>26</v>
      </c>
      <c r="R388" s="3">
        <v>0</v>
      </c>
      <c r="S388" s="4">
        <v>0</v>
      </c>
      <c r="T388" s="4">
        <v>48</v>
      </c>
      <c r="U388" s="4">
        <v>86</v>
      </c>
      <c r="V388" s="4">
        <f>IF(ISERROR(VLOOKUP($S$388,'TAR FIN'!$A$1:$O$88,15,0)),0,VLOOKUP($S$388,'TAR FIN'!$A$1:$O$88,15,0))</f>
        <v>0</v>
      </c>
      <c r="W388" s="4">
        <f>IF(ISERROR(VLOOKUP($T$388,'TAR FIN'!$A$1:$O$88,15,0)),0,VLOOKUP($T$388,'TAR FIN'!$A$1:$O$88,15,0))</f>
        <v>168.4</v>
      </c>
      <c r="X388" s="4">
        <f>IF(ISERROR(VLOOKUP($U$388,'TAR FIN'!$A$1:$O$88,15,0)),0,VLOOKUP($U$388,'TAR FIN'!$A$1:$O$88,15,0))</f>
        <v>133.29</v>
      </c>
      <c r="Y388" s="4"/>
      <c r="Z388" s="4">
        <f ca="1">('TUSD BE'!$AM$50+'TUSD BF'!$AM$50+'TUSD CVA'!$AM$50)*1</f>
        <v>246.41189729052047</v>
      </c>
      <c r="AA388" s="4">
        <f>('TE BE'!$AB$40+'TE BF'!$AB$40+'TE CVA'!$AB$40)*1</f>
        <v>105.05413273473611</v>
      </c>
      <c r="AB388" s="4">
        <f>$K$388*$V$388</f>
        <v>0</v>
      </c>
      <c r="AC388" s="4">
        <f>$M$388*$W$388</f>
        <v>17464.090400000001</v>
      </c>
      <c r="AD388" s="4">
        <f>$O$388*$X$388</f>
        <v>13822.972739999999</v>
      </c>
      <c r="AE388" s="4">
        <f>$K$388*$Y$388</f>
        <v>0</v>
      </c>
      <c r="AF388" s="4">
        <f ca="1">$M$388*$Z$388</f>
        <v>25554.392220410718</v>
      </c>
      <c r="AG388" s="4">
        <f>$O$388*$AA$388</f>
        <v>10894.743889388545</v>
      </c>
    </row>
    <row r="389" spans="1:33" ht="11.25" customHeight="1" x14ac:dyDescent="0.3">
      <c r="A389" s="3" t="s">
        <v>21</v>
      </c>
      <c r="B389" s="3" t="s">
        <v>45</v>
      </c>
      <c r="C389" s="3" t="s">
        <v>23</v>
      </c>
      <c r="D389" s="3" t="s">
        <v>46</v>
      </c>
      <c r="E389" s="3" t="s">
        <v>47</v>
      </c>
      <c r="F389" s="3" t="s">
        <v>25</v>
      </c>
      <c r="G389" s="3" t="s">
        <v>25</v>
      </c>
      <c r="H389" s="3" t="s">
        <v>25</v>
      </c>
      <c r="I389" s="6">
        <v>44713</v>
      </c>
      <c r="J389" s="4">
        <v>0</v>
      </c>
      <c r="K389" s="4">
        <v>0</v>
      </c>
      <c r="L389" s="4">
        <v>110.32899999999999</v>
      </c>
      <c r="M389" s="4">
        <v>110.32899999999999</v>
      </c>
      <c r="N389" s="4">
        <v>110.32899999999999</v>
      </c>
      <c r="O389" s="4">
        <v>110.32899999999999</v>
      </c>
      <c r="P389" s="4">
        <v>87</v>
      </c>
      <c r="Q389" s="3" t="s">
        <v>26</v>
      </c>
      <c r="R389" s="3">
        <v>0</v>
      </c>
      <c r="S389" s="4">
        <v>0</v>
      </c>
      <c r="T389" s="4">
        <v>48</v>
      </c>
      <c r="U389" s="4">
        <v>86</v>
      </c>
      <c r="V389" s="4">
        <f>IF(ISERROR(VLOOKUP($S$389,'TAR FIN'!$A$1:$O$88,15,0)),0,VLOOKUP($S$389,'TAR FIN'!$A$1:$O$88,15,0))</f>
        <v>0</v>
      </c>
      <c r="W389" s="4">
        <f>IF(ISERROR(VLOOKUP($T$389,'TAR FIN'!$A$1:$O$88,15,0)),0,VLOOKUP($T$389,'TAR FIN'!$A$1:$O$88,15,0))</f>
        <v>168.4</v>
      </c>
      <c r="X389" s="4">
        <f>IF(ISERROR(VLOOKUP($U$389,'TAR FIN'!$A$1:$O$88,15,0)),0,VLOOKUP($U$389,'TAR FIN'!$A$1:$O$88,15,0))</f>
        <v>133.29</v>
      </c>
      <c r="Y389" s="4"/>
      <c r="Z389" s="4">
        <f ca="1">('TUSD BE'!$AM$50+'TUSD BF'!$AM$50+'TUSD CVA'!$AM$50)*1</f>
        <v>246.41189729052047</v>
      </c>
      <c r="AA389" s="4">
        <f>('TE BE'!$AB$40+'TE BF'!$AB$40+'TE CVA'!$AB$40)*1</f>
        <v>105.05413273473611</v>
      </c>
      <c r="AB389" s="4">
        <f>$K$389*$V$389</f>
        <v>0</v>
      </c>
      <c r="AC389" s="4">
        <f>$M$389*$W$389</f>
        <v>18579.403599999998</v>
      </c>
      <c r="AD389" s="4">
        <f>$O$389*$X$389</f>
        <v>14705.752409999999</v>
      </c>
      <c r="AE389" s="4">
        <f>$K$389*$Y$389</f>
        <v>0</v>
      </c>
      <c r="AF389" s="4">
        <f ca="1">$M$389*$Z$389</f>
        <v>27186.378216165831</v>
      </c>
      <c r="AG389" s="4">
        <f>$O$389*$AA$389</f>
        <v>11590.5174104907</v>
      </c>
    </row>
    <row r="390" spans="1:33" ht="11.25" customHeight="1" x14ac:dyDescent="0.3">
      <c r="A390" s="3" t="s">
        <v>21</v>
      </c>
      <c r="B390" s="3" t="s">
        <v>45</v>
      </c>
      <c r="C390" s="3" t="s">
        <v>23</v>
      </c>
      <c r="D390" s="3" t="s">
        <v>46</v>
      </c>
      <c r="E390" s="3" t="s">
        <v>47</v>
      </c>
      <c r="F390" s="3" t="s">
        <v>25</v>
      </c>
      <c r="G390" s="3" t="s">
        <v>25</v>
      </c>
      <c r="H390" s="3" t="s">
        <v>25</v>
      </c>
      <c r="I390" s="6">
        <v>44743</v>
      </c>
      <c r="J390" s="4">
        <v>0</v>
      </c>
      <c r="K390" s="4">
        <v>0</v>
      </c>
      <c r="L390" s="4">
        <v>117.774</v>
      </c>
      <c r="M390" s="4">
        <v>117.774</v>
      </c>
      <c r="N390" s="4">
        <v>117.774</v>
      </c>
      <c r="O390" s="4">
        <v>117.774</v>
      </c>
      <c r="P390" s="4">
        <v>87</v>
      </c>
      <c r="Q390" s="3" t="s">
        <v>26</v>
      </c>
      <c r="R390" s="3">
        <v>0</v>
      </c>
      <c r="S390" s="4">
        <v>0</v>
      </c>
      <c r="T390" s="4">
        <v>48</v>
      </c>
      <c r="U390" s="4">
        <v>86</v>
      </c>
      <c r="V390" s="4">
        <f>IF(ISERROR(VLOOKUP($S$390,'TAR FIN'!$A$1:$O$88,15,0)),0,VLOOKUP($S$390,'TAR FIN'!$A$1:$O$88,15,0))</f>
        <v>0</v>
      </c>
      <c r="W390" s="4">
        <f>IF(ISERROR(VLOOKUP($T$390,'TAR FIN'!$A$1:$O$88,15,0)),0,VLOOKUP($T$390,'TAR FIN'!$A$1:$O$88,15,0))</f>
        <v>168.4</v>
      </c>
      <c r="X390" s="4">
        <f>IF(ISERROR(VLOOKUP($U$390,'TAR FIN'!$A$1:$O$88,15,0)),0,VLOOKUP($U$390,'TAR FIN'!$A$1:$O$88,15,0))</f>
        <v>133.29</v>
      </c>
      <c r="Y390" s="4"/>
      <c r="Z390" s="4">
        <f ca="1">('TUSD BE'!$AM$50+'TUSD BF'!$AM$50+'TUSD CVA'!$AM$50)*1</f>
        <v>246.41189729052047</v>
      </c>
      <c r="AA390" s="4">
        <f>('TE BE'!$AB$40+'TE BF'!$AB$40+'TE CVA'!$AB$40)*1</f>
        <v>105.05413273473611</v>
      </c>
      <c r="AB390" s="4">
        <f>$K$390*$V$390</f>
        <v>0</v>
      </c>
      <c r="AC390" s="4">
        <f>$M$390*$W$390</f>
        <v>19833.141599999999</v>
      </c>
      <c r="AD390" s="4">
        <f>$O$390*$X$390</f>
        <v>15698.096459999999</v>
      </c>
      <c r="AE390" s="4">
        <f>$K$390*$Y$390</f>
        <v>0</v>
      </c>
      <c r="AF390" s="4">
        <f ca="1">$M$390*$Z$390</f>
        <v>29020.914791493757</v>
      </c>
      <c r="AG390" s="4">
        <f>$O$390*$AA$390</f>
        <v>12372.645428700811</v>
      </c>
    </row>
    <row r="391" spans="1:33" ht="11.25" customHeight="1" x14ac:dyDescent="0.3">
      <c r="A391" s="3" t="s">
        <v>55</v>
      </c>
      <c r="B391" s="3" t="s">
        <v>45</v>
      </c>
      <c r="C391" s="3" t="s">
        <v>23</v>
      </c>
      <c r="D391" s="3" t="s">
        <v>46</v>
      </c>
      <c r="E391" s="3" t="s">
        <v>47</v>
      </c>
      <c r="F391" s="3" t="s">
        <v>25</v>
      </c>
      <c r="G391" s="3" t="s">
        <v>25</v>
      </c>
      <c r="H391" s="3" t="s">
        <v>25</v>
      </c>
      <c r="I391" s="6">
        <v>44774</v>
      </c>
      <c r="J391" s="4">
        <v>0</v>
      </c>
      <c r="K391" s="4">
        <v>0</v>
      </c>
      <c r="L391" s="4">
        <v>117.774</v>
      </c>
      <c r="M391" s="4">
        <v>117.774</v>
      </c>
      <c r="N391" s="4">
        <v>117.774</v>
      </c>
      <c r="O391" s="4">
        <v>117.774</v>
      </c>
      <c r="P391" s="4">
        <v>87</v>
      </c>
      <c r="Q391" s="3" t="s">
        <v>26</v>
      </c>
      <c r="R391" s="3">
        <v>0</v>
      </c>
      <c r="S391" s="4">
        <v>0</v>
      </c>
      <c r="T391" s="4">
        <v>48</v>
      </c>
      <c r="U391" s="4">
        <v>86</v>
      </c>
      <c r="V391" s="4">
        <f>IF(ISERROR(VLOOKUP($S$391,'TAR FIN'!$A$1:$O$88,15,0)),0,VLOOKUP($S$391,'TAR FIN'!$A$1:$O$88,15,0))</f>
        <v>0</v>
      </c>
      <c r="W391" s="4">
        <f>IF(ISERROR(VLOOKUP($T$391,'TAR FIN'!$A$1:$O$88,15,0)),0,VLOOKUP($T$391,'TAR FIN'!$A$1:$O$88,15,0))</f>
        <v>168.4</v>
      </c>
      <c r="X391" s="4">
        <f>IF(ISERROR(VLOOKUP($U$391,'TAR FIN'!$A$1:$O$88,15,0)),0,VLOOKUP($U$391,'TAR FIN'!$A$1:$O$88,15,0))</f>
        <v>133.29</v>
      </c>
      <c r="Y391" s="4"/>
      <c r="Z391" s="4">
        <f ca="1">('TUSD BE'!$AM$50+'TUSD BF'!$AM$50+'TUSD CVA'!$AM$50)*1</f>
        <v>246.41189729052047</v>
      </c>
      <c r="AA391" s="4">
        <f>('TE BE'!$AB$40+'TE BF'!$AB$40+'TE CVA'!$AB$40)*1</f>
        <v>105.05413273473611</v>
      </c>
      <c r="AB391" s="4">
        <f>$K$391*$V$391</f>
        <v>0</v>
      </c>
      <c r="AC391" s="4">
        <f>$M$391*$W$391</f>
        <v>19833.141599999999</v>
      </c>
      <c r="AD391" s="4">
        <f>$O$391*$X$391</f>
        <v>15698.096459999999</v>
      </c>
      <c r="AE391" s="4">
        <f>$K$391*$Y$391</f>
        <v>0</v>
      </c>
      <c r="AF391" s="4">
        <f ca="1">$M$391*$Z$391</f>
        <v>29020.914791493757</v>
      </c>
      <c r="AG391" s="4">
        <f>$O$391*$AA$391</f>
        <v>12372.645428700811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2D6C-6EB2-4A88-A090-FCFACFEA93C1}">
  <dimension ref="A1:AJ392"/>
  <sheetViews>
    <sheetView showGridLines="0" topLeftCell="AB1" workbookViewId="0">
      <selection activeCell="AJ13" sqref="AJ13"/>
    </sheetView>
  </sheetViews>
  <sheetFormatPr defaultColWidth="8.88671875" defaultRowHeight="11.25" customHeight="1" x14ac:dyDescent="0.3"/>
  <cols>
    <col min="1" max="1" width="19.109375" style="3" bestFit="1" customWidth="1"/>
    <col min="2" max="2" width="13.33203125" style="3" bestFit="1" customWidth="1"/>
    <col min="3" max="3" width="14.5546875" style="3" bestFit="1" customWidth="1"/>
    <col min="4" max="4" width="11.5546875" style="3" bestFit="1" customWidth="1"/>
    <col min="5" max="5" width="25.109375" style="3" bestFit="1" customWidth="1"/>
    <col min="6" max="6" width="12.88671875" style="3" bestFit="1" customWidth="1"/>
    <col min="7" max="7" width="11.33203125" style="3" bestFit="1" customWidth="1"/>
    <col min="8" max="8" width="10.33203125" style="3" bestFit="1" customWidth="1"/>
    <col min="9" max="9" width="12.109375" style="6" bestFit="1" customWidth="1"/>
    <col min="10" max="10" width="6.5546875" style="4" bestFit="1" customWidth="1"/>
    <col min="11" max="11" width="7.88671875" style="4" bestFit="1" customWidth="1"/>
    <col min="12" max="12" width="11.33203125" style="4" bestFit="1" customWidth="1"/>
    <col min="13" max="13" width="12.5546875" style="4" bestFit="1" customWidth="1"/>
    <col min="14" max="14" width="9.109375" style="4" bestFit="1" customWidth="1"/>
    <col min="15" max="15" width="10.44140625" style="4" bestFit="1" customWidth="1"/>
    <col min="16" max="16" width="7.6640625" style="4" bestFit="1" customWidth="1"/>
    <col min="17" max="17" width="11.109375" style="3" bestFit="1" customWidth="1"/>
    <col min="18" max="18" width="13.109375" style="3" bestFit="1" customWidth="1"/>
    <col min="19" max="19" width="23" style="3" bestFit="1" customWidth="1"/>
    <col min="20" max="20" width="24.44140625" style="3" bestFit="1" customWidth="1"/>
    <col min="21" max="21" width="22.33203125" style="3" bestFit="1" customWidth="1"/>
    <col min="22" max="22" width="15.88671875" style="3" bestFit="1" customWidth="1"/>
    <col min="23" max="23" width="17.33203125" style="3" bestFit="1" customWidth="1"/>
    <col min="24" max="24" width="15.109375" style="3" bestFit="1" customWidth="1"/>
    <col min="25" max="25" width="20.88671875" style="3" bestFit="1" customWidth="1"/>
    <col min="26" max="26" width="22.44140625" style="3" bestFit="1" customWidth="1"/>
    <col min="27" max="27" width="20.109375" style="3" bestFit="1" customWidth="1"/>
    <col min="28" max="28" width="19.109375" style="3" bestFit="1" customWidth="1"/>
    <col min="29" max="29" width="20.5546875" style="3" bestFit="1" customWidth="1"/>
    <col min="30" max="30" width="19" style="3" bestFit="1" customWidth="1"/>
    <col min="31" max="31" width="20.44140625" style="3" bestFit="1" customWidth="1"/>
    <col min="32" max="32" width="32.109375" style="3" bestFit="1" customWidth="1"/>
    <col min="33" max="33" width="8.88671875" style="3"/>
    <col min="34" max="34" width="32.109375" style="3" bestFit="1" customWidth="1"/>
    <col min="35" max="36" width="8.6640625" style="3" bestFit="1" customWidth="1"/>
    <col min="37" max="16384" width="8.88671875" style="3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H1" s="40" t="s">
        <v>623</v>
      </c>
      <c r="AI1" s="40" t="s">
        <v>628</v>
      </c>
      <c r="AJ1" s="40" t="s">
        <v>629</v>
      </c>
    </row>
    <row r="2" spans="1:36" ht="11.25" customHeight="1" x14ac:dyDescent="0.3">
      <c r="A2" s="3" t="s">
        <v>21</v>
      </c>
      <c r="B2" s="3" t="s">
        <v>22</v>
      </c>
      <c r="C2" s="3" t="s">
        <v>23</v>
      </c>
      <c r="D2" s="3" t="s">
        <v>24</v>
      </c>
      <c r="E2" s="3" t="s">
        <v>24</v>
      </c>
      <c r="F2" s="3" t="s">
        <v>25</v>
      </c>
      <c r="G2" s="3" t="s">
        <v>25</v>
      </c>
      <c r="H2" s="3" t="s">
        <v>25</v>
      </c>
      <c r="I2" s="6">
        <v>44440</v>
      </c>
      <c r="J2" s="4">
        <v>0</v>
      </c>
      <c r="K2" s="4">
        <v>0</v>
      </c>
      <c r="L2" s="4">
        <v>439.92200000000003</v>
      </c>
      <c r="M2" s="4">
        <v>439.92200000000003</v>
      </c>
      <c r="N2" s="4">
        <v>439.92200000000003</v>
      </c>
      <c r="O2" s="4">
        <v>439.92200000000003</v>
      </c>
      <c r="P2" s="4">
        <v>2828</v>
      </c>
      <c r="Q2" s="3" t="s">
        <v>26</v>
      </c>
      <c r="R2" s="3">
        <v>0</v>
      </c>
      <c r="S2" s="3">
        <v>0</v>
      </c>
      <c r="T2" s="3">
        <v>18</v>
      </c>
      <c r="U2" s="3">
        <v>56</v>
      </c>
      <c r="V2" s="4">
        <f>IF(ISERROR(VLOOKUP($S$2,'TAR FIN'!$A$1:$O$88,15,0)),0,VLOOKUP($S$2,'TAR FIN'!$A$1:$O$88,15,0))</f>
        <v>0</v>
      </c>
      <c r="W2" s="4">
        <f>IF(ISERROR(VLOOKUP($T$2,'TAR FIN'!$A$1:$O$88,15,0)),0,VLOOKUP($T$2,'TAR FIN'!$A$1:$O$88,15,0))</f>
        <v>306.19</v>
      </c>
      <c r="X2" s="4">
        <f>IF(ISERROR(VLOOKUP($U$2,'TAR FIN'!$A$1:$O$88,15,0)),0,VLOOKUP($U$2,'TAR FIN'!$A$1:$O$88,15,0))</f>
        <v>242.35</v>
      </c>
      <c r="Y2" s="4"/>
      <c r="Z2" s="4">
        <f ca="1">('TUSD BE'!$AM$20+'TUSD BF'!$AM$20+'TUSD CVA'!$AM$20)*1</f>
        <v>448.02163143730991</v>
      </c>
      <c r="AA2" s="4">
        <f>('TE BE'!$AB$10+'TE BF'!$AB$10+'TE CVA'!$AB$10)*1</f>
        <v>191.00751406315655</v>
      </c>
      <c r="AB2" s="4">
        <f t="shared" ref="AB2:AB33" si="0">(J2-K2)*V2</f>
        <v>0</v>
      </c>
      <c r="AC2" s="4">
        <f>(L2-M2)*W2+(N2-O2)*X2</f>
        <v>0</v>
      </c>
      <c r="AD2" s="4">
        <f t="shared" ref="AD2:AD33" si="1">(J2-K2)*Y2</f>
        <v>0</v>
      </c>
      <c r="AE2" s="4">
        <f ca="1">(L2-M2)*Z2+(N2-O2)*AA2</f>
        <v>0</v>
      </c>
      <c r="AH2" s="41" t="s">
        <v>630</v>
      </c>
      <c r="AI2" s="42">
        <f t="shared" ref="AI2:AI9" si="2">SUMIF($AF$2:$AF$392,AH2,$AB$2:$AB$392)+SUMIF($AF$2:$AF$392,AH2,$AC$2:$AC$392)</f>
        <v>0</v>
      </c>
      <c r="AJ2" s="42">
        <f t="shared" ref="AJ2:AJ9" si="3">SUMIF($AF$2:$AF$392,AH2,$AD$2:$AD$392)+SUMIF($AF$2:$AF$392,AH2,$AE$2:$AE$392)</f>
        <v>0</v>
      </c>
    </row>
    <row r="3" spans="1:36" ht="11.25" customHeight="1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29</v>
      </c>
      <c r="F3" s="3" t="s">
        <v>25</v>
      </c>
      <c r="G3" s="3" t="s">
        <v>25</v>
      </c>
      <c r="H3" s="3" t="s">
        <v>25</v>
      </c>
      <c r="I3" s="6">
        <v>44440</v>
      </c>
      <c r="J3" s="4">
        <v>0</v>
      </c>
      <c r="K3" s="4">
        <v>0</v>
      </c>
      <c r="L3" s="4">
        <v>4.9800000000000004</v>
      </c>
      <c r="M3" s="4">
        <v>4.9800000000000004</v>
      </c>
      <c r="N3" s="4">
        <v>4.9800000000000004</v>
      </c>
      <c r="O3" s="4">
        <v>4.9800000000000004</v>
      </c>
      <c r="P3" s="4">
        <v>6</v>
      </c>
      <c r="Q3" s="3" t="s">
        <v>26</v>
      </c>
      <c r="R3" s="3">
        <v>0</v>
      </c>
      <c r="S3" s="3">
        <v>0</v>
      </c>
      <c r="T3" s="3">
        <v>19</v>
      </c>
      <c r="U3" s="3">
        <v>57</v>
      </c>
      <c r="V3" s="4">
        <f>IF(ISERROR(VLOOKUP($S$3,'TAR FIN'!$A$1:$O$88,15,0)),0,VLOOKUP($S$3,'TAR FIN'!$A$1:$O$88,15,0))</f>
        <v>0</v>
      </c>
      <c r="W3" s="4">
        <f>IF(ISERROR(VLOOKUP($T$3,'TAR FIN'!$A$1:$O$88,15,0)),0,VLOOKUP($T$3,'TAR FIN'!$A$1:$O$88,15,0))</f>
        <v>83.46</v>
      </c>
      <c r="X3" s="4">
        <f>IF(ISERROR(VLOOKUP($U$3,'TAR FIN'!$A$1:$O$88,15,0)),0,VLOOKUP($U$3,'TAR FIN'!$A$1:$O$88,15,0))</f>
        <v>84.82</v>
      </c>
      <c r="Y3" s="4"/>
      <c r="Z3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3" s="4">
        <f>('TE BE'!$AB$11+'TE BF'!$AB$11+'TE CVA'!$AB$11)*(1-CUSTOS!$M$34)</f>
        <v>66.852629922104782</v>
      </c>
      <c r="AB3" s="4">
        <f t="shared" si="0"/>
        <v>0</v>
      </c>
      <c r="AC3" s="4">
        <f>(L3-M3)*(W3+X3)+($W$43+$X$43-$W$3-$X$3)*(L3)</f>
        <v>1556.3496</v>
      </c>
      <c r="AD3" s="4">
        <f t="shared" si="1"/>
        <v>0</v>
      </c>
      <c r="AE3" s="4">
        <f ca="1">(L3-M3)*(Z3+AA3)+($Z$43+$AA$43-$Z$3-$AA$3)*(L3)</f>
        <v>1741.2837023407239</v>
      </c>
      <c r="AF3" s="3" t="s">
        <v>624</v>
      </c>
      <c r="AH3" s="41" t="s">
        <v>631</v>
      </c>
      <c r="AI3" s="42">
        <f t="shared" si="2"/>
        <v>0</v>
      </c>
      <c r="AJ3" s="42">
        <f t="shared" si="3"/>
        <v>0</v>
      </c>
    </row>
    <row r="4" spans="1:36" ht="11.25" customHeight="1" x14ac:dyDescent="0.3">
      <c r="A4" s="3" t="s">
        <v>21</v>
      </c>
      <c r="B4" s="3" t="s">
        <v>22</v>
      </c>
      <c r="C4" s="3" t="s">
        <v>23</v>
      </c>
      <c r="D4" s="3" t="s">
        <v>24</v>
      </c>
      <c r="E4" s="3" t="s">
        <v>29</v>
      </c>
      <c r="F4" s="3" t="s">
        <v>25</v>
      </c>
      <c r="G4" s="3" t="s">
        <v>25</v>
      </c>
      <c r="H4" s="3" t="s">
        <v>25</v>
      </c>
      <c r="I4" s="6">
        <v>44470</v>
      </c>
      <c r="J4" s="4">
        <v>0</v>
      </c>
      <c r="K4" s="4">
        <v>0</v>
      </c>
      <c r="L4" s="4">
        <v>5.16</v>
      </c>
      <c r="M4" s="4">
        <v>5.16</v>
      </c>
      <c r="N4" s="4">
        <v>5.16</v>
      </c>
      <c r="O4" s="4">
        <v>5.16</v>
      </c>
      <c r="P4" s="4">
        <v>7</v>
      </c>
      <c r="Q4" s="3" t="s">
        <v>26</v>
      </c>
      <c r="R4" s="3">
        <v>0</v>
      </c>
      <c r="S4" s="3">
        <v>0</v>
      </c>
      <c r="T4" s="3">
        <v>19</v>
      </c>
      <c r="U4" s="3">
        <v>57</v>
      </c>
      <c r="V4" s="4">
        <f>IF(ISERROR(VLOOKUP($S$4,'TAR FIN'!$A$1:$O$88,15,0)),0,VLOOKUP($S$4,'TAR FIN'!$A$1:$O$88,15,0))</f>
        <v>0</v>
      </c>
      <c r="W4" s="4">
        <f>IF(ISERROR(VLOOKUP($T$4,'TAR FIN'!$A$1:$O$88,15,0)),0,VLOOKUP($T$4,'TAR FIN'!$A$1:$O$88,15,0))</f>
        <v>83.46</v>
      </c>
      <c r="X4" s="4">
        <f>IF(ISERROR(VLOOKUP($U$4,'TAR FIN'!$A$1:$O$88,15,0)),0,VLOOKUP($U$4,'TAR FIN'!$A$1:$O$88,15,0))</f>
        <v>84.82</v>
      </c>
      <c r="Y4" s="4"/>
      <c r="Z4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4" s="4">
        <f>('TE BE'!$AB$11+'TE BF'!$AB$11+'TE CVA'!$AB$11)*(1-CUSTOS!$M$34)</f>
        <v>66.852629922104782</v>
      </c>
      <c r="AB4" s="4">
        <f t="shared" si="0"/>
        <v>0</v>
      </c>
      <c r="AC4" s="4">
        <f>(L4-M4)*(W4+X4)+($W$43+$X$43-$W$4-$X$4)*(L4)</f>
        <v>1612.6032</v>
      </c>
      <c r="AD4" s="4">
        <f t="shared" si="1"/>
        <v>0</v>
      </c>
      <c r="AE4" s="4">
        <f ca="1">(L4-M4)*(Z4+AA4)+($Z$43+$AA$43-$Z$4-$AA$4)*(L4)</f>
        <v>1804.2216674855692</v>
      </c>
      <c r="AF4" s="3" t="s">
        <v>624</v>
      </c>
      <c r="AH4" s="41" t="s">
        <v>632</v>
      </c>
      <c r="AI4" s="42">
        <f t="shared" si="2"/>
        <v>0</v>
      </c>
      <c r="AJ4" s="42">
        <f t="shared" si="3"/>
        <v>0</v>
      </c>
    </row>
    <row r="5" spans="1:36" ht="11.25" customHeight="1" x14ac:dyDescent="0.3">
      <c r="A5" s="3" t="s">
        <v>21</v>
      </c>
      <c r="B5" s="3" t="s">
        <v>22</v>
      </c>
      <c r="C5" s="3" t="s">
        <v>23</v>
      </c>
      <c r="D5" s="3" t="s">
        <v>24</v>
      </c>
      <c r="E5" s="3" t="s">
        <v>29</v>
      </c>
      <c r="F5" s="3" t="s">
        <v>25</v>
      </c>
      <c r="G5" s="3" t="s">
        <v>25</v>
      </c>
      <c r="H5" s="3" t="s">
        <v>25</v>
      </c>
      <c r="I5" s="6">
        <v>44501</v>
      </c>
      <c r="J5" s="4">
        <v>0</v>
      </c>
      <c r="K5" s="4">
        <v>0</v>
      </c>
      <c r="L5" s="4">
        <v>5.34</v>
      </c>
      <c r="M5" s="4">
        <v>5.34</v>
      </c>
      <c r="N5" s="4">
        <v>5.34</v>
      </c>
      <c r="O5" s="4">
        <v>5.34</v>
      </c>
      <c r="P5" s="4">
        <v>9</v>
      </c>
      <c r="Q5" s="3" t="s">
        <v>26</v>
      </c>
      <c r="R5" s="3">
        <v>0</v>
      </c>
      <c r="S5" s="3">
        <v>0</v>
      </c>
      <c r="T5" s="3">
        <v>19</v>
      </c>
      <c r="U5" s="3">
        <v>57</v>
      </c>
      <c r="V5" s="4">
        <f>IF(ISERROR(VLOOKUP($S$5,'TAR FIN'!$A$1:$O$88,15,0)),0,VLOOKUP($S$5,'TAR FIN'!$A$1:$O$88,15,0))</f>
        <v>0</v>
      </c>
      <c r="W5" s="4">
        <f>IF(ISERROR(VLOOKUP($T$5,'TAR FIN'!$A$1:$O$88,15,0)),0,VLOOKUP($T$5,'TAR FIN'!$A$1:$O$88,15,0))</f>
        <v>83.46</v>
      </c>
      <c r="X5" s="4">
        <f>IF(ISERROR(VLOOKUP($U$5,'TAR FIN'!$A$1:$O$88,15,0)),0,VLOOKUP($U$5,'TAR FIN'!$A$1:$O$88,15,0))</f>
        <v>84.82</v>
      </c>
      <c r="Y5" s="4"/>
      <c r="Z5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5" s="4">
        <f>('TE BE'!$AB$11+'TE BF'!$AB$11+'TE CVA'!$AB$11)*(1-CUSTOS!$M$34)</f>
        <v>66.852629922104782</v>
      </c>
      <c r="AB5" s="4">
        <f t="shared" si="0"/>
        <v>0</v>
      </c>
      <c r="AC5" s="4">
        <f>(L5-M5)*(W5+X5)+($W$43+$X$43-$W$5-$X$5)*(L5)</f>
        <v>1668.8567999999998</v>
      </c>
      <c r="AD5" s="4">
        <f t="shared" si="1"/>
        <v>0</v>
      </c>
      <c r="AE5" s="4">
        <f ca="1">(L5-M5)*(Z5+AA5)+($Z$43+$AA$43-$Z$5-$AA$5)*(L5)</f>
        <v>1867.1596326304145</v>
      </c>
      <c r="AF5" s="3" t="s">
        <v>624</v>
      </c>
      <c r="AH5" s="41" t="s">
        <v>627</v>
      </c>
      <c r="AI5" s="42">
        <f t="shared" si="2"/>
        <v>7799.5805519999994</v>
      </c>
      <c r="AJ5" s="42">
        <f t="shared" ca="1" si="3"/>
        <v>4543.1138070210154</v>
      </c>
    </row>
    <row r="6" spans="1:36" ht="11.25" customHeight="1" x14ac:dyDescent="0.3">
      <c r="A6" s="3" t="s">
        <v>21</v>
      </c>
      <c r="B6" s="3" t="s">
        <v>22</v>
      </c>
      <c r="C6" s="3" t="s">
        <v>23</v>
      </c>
      <c r="D6" s="3" t="s">
        <v>24</v>
      </c>
      <c r="E6" s="3" t="s">
        <v>29</v>
      </c>
      <c r="F6" s="3" t="s">
        <v>25</v>
      </c>
      <c r="G6" s="3" t="s">
        <v>25</v>
      </c>
      <c r="H6" s="3" t="s">
        <v>25</v>
      </c>
      <c r="I6" s="6">
        <v>44531</v>
      </c>
      <c r="J6" s="4">
        <v>0</v>
      </c>
      <c r="K6" s="4">
        <v>0</v>
      </c>
      <c r="L6" s="4">
        <v>5.37</v>
      </c>
      <c r="M6" s="4">
        <v>5.37</v>
      </c>
      <c r="N6" s="4">
        <v>5.37</v>
      </c>
      <c r="O6" s="4">
        <v>5.37</v>
      </c>
      <c r="P6" s="4">
        <v>8</v>
      </c>
      <c r="Q6" s="3" t="s">
        <v>26</v>
      </c>
      <c r="R6" s="3">
        <v>0</v>
      </c>
      <c r="S6" s="3">
        <v>0</v>
      </c>
      <c r="T6" s="3">
        <v>19</v>
      </c>
      <c r="U6" s="3">
        <v>57</v>
      </c>
      <c r="V6" s="4">
        <f>IF(ISERROR(VLOOKUP($S$6,'TAR FIN'!$A$1:$O$88,15,0)),0,VLOOKUP($S$6,'TAR FIN'!$A$1:$O$88,15,0))</f>
        <v>0</v>
      </c>
      <c r="W6" s="4">
        <f>IF(ISERROR(VLOOKUP($T$6,'TAR FIN'!$A$1:$O$88,15,0)),0,VLOOKUP($T$6,'TAR FIN'!$A$1:$O$88,15,0))</f>
        <v>83.46</v>
      </c>
      <c r="X6" s="4">
        <f>IF(ISERROR(VLOOKUP($U$6,'TAR FIN'!$A$1:$O$88,15,0)),0,VLOOKUP($U$6,'TAR FIN'!$A$1:$O$88,15,0))</f>
        <v>84.82</v>
      </c>
      <c r="Y6" s="4"/>
      <c r="Z6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6" s="4">
        <f>('TE BE'!$AB$11+'TE BF'!$AB$11+'TE CVA'!$AB$11)*(1-CUSTOS!$M$34)</f>
        <v>66.852629922104782</v>
      </c>
      <c r="AB6" s="4">
        <f t="shared" si="0"/>
        <v>0</v>
      </c>
      <c r="AC6" s="4">
        <f>(L6-M6)*(W6+X6)+($W$43+$X$43-$W$6-$X$6)*(L6)</f>
        <v>1678.2323999999999</v>
      </c>
      <c r="AD6" s="4">
        <f t="shared" si="1"/>
        <v>0</v>
      </c>
      <c r="AE6" s="4">
        <f ca="1">(L6-M6)*(Z6+AA6)+($Z$43+$AA$43-$Z$6-$AA$6)*(L6)</f>
        <v>1877.6492934878888</v>
      </c>
      <c r="AF6" s="3" t="s">
        <v>624</v>
      </c>
      <c r="AH6" s="41" t="s">
        <v>625</v>
      </c>
      <c r="AI6" s="42">
        <f t="shared" si="2"/>
        <v>357182.23463999981</v>
      </c>
      <c r="AJ6" s="42">
        <f t="shared" ca="1" si="3"/>
        <v>208067.32742930399</v>
      </c>
    </row>
    <row r="7" spans="1:36" ht="11.25" customHeight="1" x14ac:dyDescent="0.3">
      <c r="A7" s="3" t="s">
        <v>21</v>
      </c>
      <c r="B7" s="3" t="s">
        <v>22</v>
      </c>
      <c r="C7" s="3" t="s">
        <v>23</v>
      </c>
      <c r="D7" s="3" t="s">
        <v>24</v>
      </c>
      <c r="E7" s="3" t="s">
        <v>29</v>
      </c>
      <c r="F7" s="3" t="s">
        <v>25</v>
      </c>
      <c r="G7" s="3" t="s">
        <v>25</v>
      </c>
      <c r="H7" s="3" t="s">
        <v>25</v>
      </c>
      <c r="I7" s="6">
        <v>44562</v>
      </c>
      <c r="J7" s="4">
        <v>0</v>
      </c>
      <c r="K7" s="4">
        <v>0</v>
      </c>
      <c r="L7" s="4">
        <v>5.52</v>
      </c>
      <c r="M7" s="4">
        <v>5.52</v>
      </c>
      <c r="N7" s="4">
        <v>5.52</v>
      </c>
      <c r="O7" s="4">
        <v>5.52</v>
      </c>
      <c r="P7" s="4">
        <v>6</v>
      </c>
      <c r="Q7" s="3" t="s">
        <v>26</v>
      </c>
      <c r="R7" s="3">
        <v>0</v>
      </c>
      <c r="S7" s="3">
        <v>0</v>
      </c>
      <c r="T7" s="3">
        <v>19</v>
      </c>
      <c r="U7" s="3">
        <v>57</v>
      </c>
      <c r="V7" s="4">
        <f>IF(ISERROR(VLOOKUP($S$7,'TAR FIN'!$A$1:$O$88,15,0)),0,VLOOKUP($S$7,'TAR FIN'!$A$1:$O$88,15,0))</f>
        <v>0</v>
      </c>
      <c r="W7" s="4">
        <f>IF(ISERROR(VLOOKUP($T$7,'TAR FIN'!$A$1:$O$88,15,0)),0,VLOOKUP($T$7,'TAR FIN'!$A$1:$O$88,15,0))</f>
        <v>83.46</v>
      </c>
      <c r="X7" s="4">
        <f>IF(ISERROR(VLOOKUP($U$7,'TAR FIN'!$A$1:$O$88,15,0)),0,VLOOKUP($U$7,'TAR FIN'!$A$1:$O$88,15,0))</f>
        <v>84.82</v>
      </c>
      <c r="Y7" s="4"/>
      <c r="Z7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7" s="4">
        <f>('TE BE'!$AB$11+'TE BF'!$AB$11+'TE CVA'!$AB$11)*(1-CUSTOS!$M$34)</f>
        <v>66.852629922104782</v>
      </c>
      <c r="AB7" s="4">
        <f t="shared" si="0"/>
        <v>0</v>
      </c>
      <c r="AC7" s="4">
        <f>(L7-M7)*(W7+X7)+($W$43+$X$43-$W$7-$X$7)*(L7)</f>
        <v>1725.1103999999998</v>
      </c>
      <c r="AD7" s="4">
        <f t="shared" si="1"/>
        <v>0</v>
      </c>
      <c r="AE7" s="4">
        <f ca="1">(L7-M7)*(Z7+AA7)+($Z$43+$AA$43-$Z$7-$AA$7)*(L7)</f>
        <v>1930.0975977752598</v>
      </c>
      <c r="AF7" s="3" t="s">
        <v>624</v>
      </c>
      <c r="AH7" s="41" t="s">
        <v>626</v>
      </c>
      <c r="AI7" s="42">
        <f t="shared" si="2"/>
        <v>30247.898844000014</v>
      </c>
      <c r="AJ7" s="42">
        <f t="shared" ca="1" si="3"/>
        <v>33932.78503346358</v>
      </c>
    </row>
    <row r="8" spans="1:36" ht="11.25" customHeight="1" x14ac:dyDescent="0.3">
      <c r="A8" s="3" t="s">
        <v>21</v>
      </c>
      <c r="B8" s="3" t="s">
        <v>22</v>
      </c>
      <c r="C8" s="3" t="s">
        <v>23</v>
      </c>
      <c r="D8" s="3" t="s">
        <v>24</v>
      </c>
      <c r="E8" s="3" t="s">
        <v>29</v>
      </c>
      <c r="F8" s="3" t="s">
        <v>25</v>
      </c>
      <c r="G8" s="3" t="s">
        <v>25</v>
      </c>
      <c r="H8" s="3" t="s">
        <v>25</v>
      </c>
      <c r="I8" s="6">
        <v>44593</v>
      </c>
      <c r="J8" s="4">
        <v>0</v>
      </c>
      <c r="K8" s="4">
        <v>0</v>
      </c>
      <c r="L8" s="4">
        <v>5.76</v>
      </c>
      <c r="M8" s="4">
        <v>5.76</v>
      </c>
      <c r="N8" s="4">
        <v>5.76</v>
      </c>
      <c r="O8" s="4">
        <v>5.76</v>
      </c>
      <c r="P8" s="4">
        <v>9</v>
      </c>
      <c r="Q8" s="3" t="s">
        <v>26</v>
      </c>
      <c r="R8" s="3">
        <v>0</v>
      </c>
      <c r="S8" s="3">
        <v>0</v>
      </c>
      <c r="T8" s="3">
        <v>19</v>
      </c>
      <c r="U8" s="3">
        <v>57</v>
      </c>
      <c r="V8" s="4">
        <f>IF(ISERROR(VLOOKUP($S$8,'TAR FIN'!$A$1:$O$88,15,0)),0,VLOOKUP($S$8,'TAR FIN'!$A$1:$O$88,15,0))</f>
        <v>0</v>
      </c>
      <c r="W8" s="4">
        <f>IF(ISERROR(VLOOKUP($T$8,'TAR FIN'!$A$1:$O$88,15,0)),0,VLOOKUP($T$8,'TAR FIN'!$A$1:$O$88,15,0))</f>
        <v>83.46</v>
      </c>
      <c r="X8" s="4">
        <f>IF(ISERROR(VLOOKUP($U$8,'TAR FIN'!$A$1:$O$88,15,0)),0,VLOOKUP($U$8,'TAR FIN'!$A$1:$O$88,15,0))</f>
        <v>84.82</v>
      </c>
      <c r="Y8" s="4"/>
      <c r="Z8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8" s="4">
        <f>('TE BE'!$AB$11+'TE BF'!$AB$11+'TE CVA'!$AB$11)*(1-CUSTOS!$M$34)</f>
        <v>66.852629922104782</v>
      </c>
      <c r="AB8" s="4">
        <f t="shared" si="0"/>
        <v>0</v>
      </c>
      <c r="AC8" s="4">
        <f>(L8-M8)*(W8+X8)+($W$43+$X$43-$W$8-$X$8)*(L8)</f>
        <v>1800.1151999999997</v>
      </c>
      <c r="AD8" s="4">
        <f t="shared" si="1"/>
        <v>0</v>
      </c>
      <c r="AE8" s="4">
        <f ca="1">(L8-M8)*(Z8+AA8)+($Z$43+$AA$43-$Z$8-$AA$8)*(L8)</f>
        <v>2014.0148846350539</v>
      </c>
      <c r="AF8" s="3" t="s">
        <v>624</v>
      </c>
      <c r="AH8" s="41" t="s">
        <v>624</v>
      </c>
      <c r="AI8" s="42">
        <f t="shared" si="2"/>
        <v>62529.707669999989</v>
      </c>
      <c r="AJ8" s="42">
        <f t="shared" ca="1" si="3"/>
        <v>69958.157225426927</v>
      </c>
    </row>
    <row r="9" spans="1:36" ht="11.25" customHeight="1" x14ac:dyDescent="0.3">
      <c r="A9" s="3" t="s">
        <v>21</v>
      </c>
      <c r="B9" s="3" t="s">
        <v>22</v>
      </c>
      <c r="C9" s="3" t="s">
        <v>23</v>
      </c>
      <c r="D9" s="3" t="s">
        <v>24</v>
      </c>
      <c r="E9" s="3" t="s">
        <v>29</v>
      </c>
      <c r="F9" s="3" t="s">
        <v>25</v>
      </c>
      <c r="G9" s="3" t="s">
        <v>25</v>
      </c>
      <c r="H9" s="3" t="s">
        <v>25</v>
      </c>
      <c r="I9" s="6">
        <v>44621</v>
      </c>
      <c r="J9" s="4">
        <v>0</v>
      </c>
      <c r="K9" s="4">
        <v>0</v>
      </c>
      <c r="L9" s="4">
        <v>7.2</v>
      </c>
      <c r="M9" s="4">
        <v>7.2</v>
      </c>
      <c r="N9" s="4">
        <v>7.2</v>
      </c>
      <c r="O9" s="4">
        <v>7.2</v>
      </c>
      <c r="P9" s="4">
        <v>12</v>
      </c>
      <c r="Q9" s="3" t="s">
        <v>26</v>
      </c>
      <c r="R9" s="3">
        <v>0</v>
      </c>
      <c r="S9" s="3">
        <v>0</v>
      </c>
      <c r="T9" s="3">
        <v>19</v>
      </c>
      <c r="U9" s="3">
        <v>57</v>
      </c>
      <c r="V9" s="4">
        <f>IF(ISERROR(VLOOKUP($S$9,'TAR FIN'!$A$1:$O$88,15,0)),0,VLOOKUP($S$9,'TAR FIN'!$A$1:$O$88,15,0))</f>
        <v>0</v>
      </c>
      <c r="W9" s="4">
        <f>IF(ISERROR(VLOOKUP($T$9,'TAR FIN'!$A$1:$O$88,15,0)),0,VLOOKUP($T$9,'TAR FIN'!$A$1:$O$88,15,0))</f>
        <v>83.46</v>
      </c>
      <c r="X9" s="4">
        <f>IF(ISERROR(VLOOKUP($U$9,'TAR FIN'!$A$1:$O$88,15,0)),0,VLOOKUP($U$9,'TAR FIN'!$A$1:$O$88,15,0))</f>
        <v>84.82</v>
      </c>
      <c r="Y9" s="4"/>
      <c r="Z9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9" s="4">
        <f>('TE BE'!$AB$11+'TE BF'!$AB$11+'TE CVA'!$AB$11)*(1-CUSTOS!$M$34)</f>
        <v>66.852629922104782</v>
      </c>
      <c r="AB9" s="4">
        <f t="shared" si="0"/>
        <v>0</v>
      </c>
      <c r="AC9" s="4">
        <f>(L9-M9)*(W9+X9)+($W$43+$X$43-$W$9-$X$9)*(L9)</f>
        <v>2250.1439999999998</v>
      </c>
      <c r="AD9" s="4">
        <f t="shared" si="1"/>
        <v>0</v>
      </c>
      <c r="AE9" s="4">
        <f ca="1">(L9-M9)*(Z9+AA9)+($Z$43+$AA$43-$Z$9-$AA$9)*(L9)</f>
        <v>2517.5186057938176</v>
      </c>
      <c r="AF9" s="3" t="s">
        <v>624</v>
      </c>
      <c r="AH9" s="41" t="s">
        <v>633</v>
      </c>
      <c r="AI9" s="42">
        <f t="shared" si="2"/>
        <v>0</v>
      </c>
      <c r="AJ9" s="42">
        <f t="shared" si="3"/>
        <v>0</v>
      </c>
    </row>
    <row r="10" spans="1:36" ht="11.25" customHeight="1" x14ac:dyDescent="0.3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29</v>
      </c>
      <c r="F10" s="3" t="s">
        <v>25</v>
      </c>
      <c r="G10" s="3" t="s">
        <v>25</v>
      </c>
      <c r="H10" s="3" t="s">
        <v>25</v>
      </c>
      <c r="I10" s="6">
        <v>44652</v>
      </c>
      <c r="J10" s="4">
        <v>0</v>
      </c>
      <c r="K10" s="4">
        <v>0</v>
      </c>
      <c r="L10" s="4">
        <v>7.5</v>
      </c>
      <c r="M10" s="4">
        <v>7.5</v>
      </c>
      <c r="N10" s="4">
        <v>7.5</v>
      </c>
      <c r="O10" s="4">
        <v>7.5</v>
      </c>
      <c r="P10" s="4">
        <v>11</v>
      </c>
      <c r="Q10" s="3" t="s">
        <v>26</v>
      </c>
      <c r="R10" s="3">
        <v>0</v>
      </c>
      <c r="S10" s="3">
        <v>0</v>
      </c>
      <c r="T10" s="3">
        <v>19</v>
      </c>
      <c r="U10" s="3">
        <v>57</v>
      </c>
      <c r="V10" s="4">
        <f>IF(ISERROR(VLOOKUP($S$10,'TAR FIN'!$A$1:$O$88,15,0)),0,VLOOKUP($S$10,'TAR FIN'!$A$1:$O$88,15,0))</f>
        <v>0</v>
      </c>
      <c r="W10" s="4">
        <f>IF(ISERROR(VLOOKUP($T$10,'TAR FIN'!$A$1:$O$88,15,0)),0,VLOOKUP($T$10,'TAR FIN'!$A$1:$O$88,15,0))</f>
        <v>83.46</v>
      </c>
      <c r="X10" s="4">
        <f>IF(ISERROR(VLOOKUP($U$10,'TAR FIN'!$A$1:$O$88,15,0)),0,VLOOKUP($U$10,'TAR FIN'!$A$1:$O$88,15,0))</f>
        <v>84.82</v>
      </c>
      <c r="Y10" s="4"/>
      <c r="Z10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0" s="4">
        <f>('TE BE'!$AB$11+'TE BF'!$AB$11+'TE CVA'!$AB$11)*(1-CUSTOS!$M$34)</f>
        <v>66.852629922104782</v>
      </c>
      <c r="AB10" s="4">
        <f t="shared" si="0"/>
        <v>0</v>
      </c>
      <c r="AC10" s="4">
        <f>(L10-M10)*(W10+X10)+($W$43+$X$43-$W$10-$X$10)*(L10)</f>
        <v>2343.8999999999996</v>
      </c>
      <c r="AD10" s="4">
        <f t="shared" si="1"/>
        <v>0</v>
      </c>
      <c r="AE10" s="4">
        <f ca="1">(L10-M10)*(Z10+AA10)+($Z$43+$AA$43-$Z$10-$AA$10)*(L10)</f>
        <v>2622.4152143685601</v>
      </c>
      <c r="AF10" s="3" t="s">
        <v>624</v>
      </c>
    </row>
    <row r="11" spans="1:36" ht="11.25" customHeight="1" x14ac:dyDescent="0.3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29</v>
      </c>
      <c r="F11" s="3" t="s">
        <v>25</v>
      </c>
      <c r="G11" s="3" t="s">
        <v>25</v>
      </c>
      <c r="H11" s="3" t="s">
        <v>25</v>
      </c>
      <c r="I11" s="6">
        <v>44682</v>
      </c>
      <c r="J11" s="4">
        <v>0</v>
      </c>
      <c r="K11" s="4">
        <v>0</v>
      </c>
      <c r="L11" s="4">
        <v>8.2799999999999994</v>
      </c>
      <c r="M11" s="4">
        <v>8.2799999999999994</v>
      </c>
      <c r="N11" s="4">
        <v>8.2799999999999994</v>
      </c>
      <c r="O11" s="4">
        <v>8.2799999999999994</v>
      </c>
      <c r="P11" s="4">
        <v>13</v>
      </c>
      <c r="Q11" s="3" t="s">
        <v>26</v>
      </c>
      <c r="R11" s="3">
        <v>0</v>
      </c>
      <c r="S11" s="3">
        <v>0</v>
      </c>
      <c r="T11" s="3">
        <v>19</v>
      </c>
      <c r="U11" s="3">
        <v>57</v>
      </c>
      <c r="V11" s="4">
        <f>IF(ISERROR(VLOOKUP($S$11,'TAR FIN'!$A$1:$O$88,15,0)),0,VLOOKUP($S$11,'TAR FIN'!$A$1:$O$88,15,0))</f>
        <v>0</v>
      </c>
      <c r="W11" s="4">
        <f>IF(ISERROR(VLOOKUP($T$11,'TAR FIN'!$A$1:$O$88,15,0)),0,VLOOKUP($T$11,'TAR FIN'!$A$1:$O$88,15,0))</f>
        <v>83.46</v>
      </c>
      <c r="X11" s="4">
        <f>IF(ISERROR(VLOOKUP($U$11,'TAR FIN'!$A$1:$O$88,15,0)),0,VLOOKUP($U$11,'TAR FIN'!$A$1:$O$88,15,0))</f>
        <v>84.82</v>
      </c>
      <c r="Y11" s="4"/>
      <c r="Z11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1" s="4">
        <f>('TE BE'!$AB$11+'TE BF'!$AB$11+'TE CVA'!$AB$11)*(1-CUSTOS!$M$34)</f>
        <v>66.852629922104782</v>
      </c>
      <c r="AB11" s="4">
        <f t="shared" si="0"/>
        <v>0</v>
      </c>
      <c r="AC11" s="4">
        <f>(L11-M11)*(W11+X11)+($W$43+$X$43-$W$11-$X$11)*(L11)</f>
        <v>2587.6655999999998</v>
      </c>
      <c r="AD11" s="4">
        <f t="shared" si="1"/>
        <v>0</v>
      </c>
      <c r="AE11" s="4">
        <f ca="1">(L11-M11)*(Z11+AA11)+($Z$43+$AA$43-$Z$11-$AA$11)*(L11)</f>
        <v>2895.1463966628899</v>
      </c>
      <c r="AF11" s="3" t="s">
        <v>624</v>
      </c>
    </row>
    <row r="12" spans="1:36" ht="11.25" customHeight="1" x14ac:dyDescent="0.3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29</v>
      </c>
      <c r="F12" s="3" t="s">
        <v>25</v>
      </c>
      <c r="G12" s="3" t="s">
        <v>25</v>
      </c>
      <c r="H12" s="3" t="s">
        <v>25</v>
      </c>
      <c r="I12" s="6">
        <v>44713</v>
      </c>
      <c r="J12" s="4">
        <v>0</v>
      </c>
      <c r="K12" s="4">
        <v>0</v>
      </c>
      <c r="L12" s="4">
        <v>7.7990000000000004</v>
      </c>
      <c r="M12" s="4">
        <v>7.7990000000000004</v>
      </c>
      <c r="N12" s="4">
        <v>7.7990000000000004</v>
      </c>
      <c r="O12" s="4">
        <v>7.7990000000000004</v>
      </c>
      <c r="P12" s="4">
        <v>12</v>
      </c>
      <c r="Q12" s="3" t="s">
        <v>26</v>
      </c>
      <c r="R12" s="3">
        <v>0</v>
      </c>
      <c r="S12" s="3">
        <v>0</v>
      </c>
      <c r="T12" s="3">
        <v>19</v>
      </c>
      <c r="U12" s="3">
        <v>57</v>
      </c>
      <c r="V12" s="4">
        <f>IF(ISERROR(VLOOKUP($S$12,'TAR FIN'!$A$1:$O$88,15,0)),0,VLOOKUP($S$12,'TAR FIN'!$A$1:$O$88,15,0))</f>
        <v>0</v>
      </c>
      <c r="W12" s="4">
        <f>IF(ISERROR(VLOOKUP($T$12,'TAR FIN'!$A$1:$O$88,15,0)),0,VLOOKUP($T$12,'TAR FIN'!$A$1:$O$88,15,0))</f>
        <v>83.46</v>
      </c>
      <c r="X12" s="4">
        <f>IF(ISERROR(VLOOKUP($U$12,'TAR FIN'!$A$1:$O$88,15,0)),0,VLOOKUP($U$12,'TAR FIN'!$A$1:$O$88,15,0))</f>
        <v>84.82</v>
      </c>
      <c r="Y12" s="4"/>
      <c r="Z12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2" s="4">
        <f>('TE BE'!$AB$11+'TE BF'!$AB$11+'TE CVA'!$AB$11)*(1-CUSTOS!$M$34)</f>
        <v>66.852629922104782</v>
      </c>
      <c r="AB12" s="4">
        <f t="shared" si="0"/>
        <v>0</v>
      </c>
      <c r="AC12" s="4">
        <f>(L12-M12)*(W12+X12)+($W$43+$X$43-$W$12-$X$12)*(L12)</f>
        <v>2437.34348</v>
      </c>
      <c r="AD12" s="4">
        <f t="shared" si="1"/>
        <v>0</v>
      </c>
      <c r="AE12" s="4">
        <f ca="1">(L12-M12)*(Z12+AA12)+($Z$43+$AA$43-$Z$12-$AA$12)*(L12)</f>
        <v>2726.9621675813864</v>
      </c>
      <c r="AF12" s="3" t="s">
        <v>624</v>
      </c>
      <c r="AJ12" s="4">
        <f ca="1">SUM(AJ2:AJ11)</f>
        <v>316501.38349521556</v>
      </c>
    </row>
    <row r="13" spans="1:36" ht="11.25" customHeight="1" x14ac:dyDescent="0.3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29</v>
      </c>
      <c r="F13" s="3" t="s">
        <v>25</v>
      </c>
      <c r="G13" s="3" t="s">
        <v>25</v>
      </c>
      <c r="H13" s="3" t="s">
        <v>25</v>
      </c>
      <c r="I13" s="6">
        <v>44743</v>
      </c>
      <c r="J13" s="4">
        <v>0</v>
      </c>
      <c r="K13" s="4">
        <v>0</v>
      </c>
      <c r="L13" s="4">
        <v>7.86</v>
      </c>
      <c r="M13" s="4">
        <v>7.86</v>
      </c>
      <c r="N13" s="4">
        <v>7.86</v>
      </c>
      <c r="O13" s="4">
        <v>7.86</v>
      </c>
      <c r="P13" s="4">
        <v>14</v>
      </c>
      <c r="Q13" s="3" t="s">
        <v>26</v>
      </c>
      <c r="R13" s="3">
        <v>0</v>
      </c>
      <c r="S13" s="3">
        <v>0</v>
      </c>
      <c r="T13" s="3">
        <v>19</v>
      </c>
      <c r="U13" s="3">
        <v>57</v>
      </c>
      <c r="V13" s="4">
        <f>IF(ISERROR(VLOOKUP($S$13,'TAR FIN'!$A$1:$O$88,15,0)),0,VLOOKUP($S$13,'TAR FIN'!$A$1:$O$88,15,0))</f>
        <v>0</v>
      </c>
      <c r="W13" s="4">
        <f>IF(ISERROR(VLOOKUP($T$13,'TAR FIN'!$A$1:$O$88,15,0)),0,VLOOKUP($T$13,'TAR FIN'!$A$1:$O$88,15,0))</f>
        <v>83.46</v>
      </c>
      <c r="X13" s="4">
        <f>IF(ISERROR(VLOOKUP($U$13,'TAR FIN'!$A$1:$O$88,15,0)),0,VLOOKUP($U$13,'TAR FIN'!$A$1:$O$88,15,0))</f>
        <v>84.82</v>
      </c>
      <c r="Y13" s="4"/>
      <c r="Z13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3" s="4">
        <f>('TE BE'!$AB$11+'TE BF'!$AB$11+'TE CVA'!$AB$11)*(1-CUSTOS!$M$34)</f>
        <v>66.852629922104782</v>
      </c>
      <c r="AB13" s="4">
        <f t="shared" si="0"/>
        <v>0</v>
      </c>
      <c r="AC13" s="4">
        <f>(L13-M13)*(W13+X13)+($W$43+$X$43-$W$13-$X$13)*(L13)</f>
        <v>2456.4072000000001</v>
      </c>
      <c r="AD13" s="4">
        <f t="shared" si="1"/>
        <v>0</v>
      </c>
      <c r="AE13" s="4">
        <f ca="1">(L13-M13)*(Z13+AA13)+($Z$43+$AA$43-$Z$13-$AA$13)*(L13)</f>
        <v>2748.2911446582507</v>
      </c>
      <c r="AF13" s="3" t="s">
        <v>624</v>
      </c>
    </row>
    <row r="14" spans="1:36" ht="11.25" customHeight="1" x14ac:dyDescent="0.3">
      <c r="A14" s="3" t="s">
        <v>55</v>
      </c>
      <c r="B14" s="3" t="s">
        <v>22</v>
      </c>
      <c r="C14" s="3" t="s">
        <v>23</v>
      </c>
      <c r="D14" s="3" t="s">
        <v>24</v>
      </c>
      <c r="E14" s="3" t="s">
        <v>29</v>
      </c>
      <c r="F14" s="3" t="s">
        <v>25</v>
      </c>
      <c r="G14" s="3" t="s">
        <v>25</v>
      </c>
      <c r="H14" s="3" t="s">
        <v>25</v>
      </c>
      <c r="I14" s="6">
        <v>44774</v>
      </c>
      <c r="J14" s="4">
        <v>0</v>
      </c>
      <c r="K14" s="4">
        <v>0</v>
      </c>
      <c r="L14" s="4">
        <v>7.86</v>
      </c>
      <c r="M14" s="4">
        <v>7.86</v>
      </c>
      <c r="N14" s="4">
        <v>7.86</v>
      </c>
      <c r="O14" s="4">
        <v>7.86</v>
      </c>
      <c r="P14" s="4">
        <v>14</v>
      </c>
      <c r="Q14" s="3" t="s">
        <v>26</v>
      </c>
      <c r="R14" s="3">
        <v>0</v>
      </c>
      <c r="S14" s="3">
        <v>0</v>
      </c>
      <c r="T14" s="3">
        <v>19</v>
      </c>
      <c r="U14" s="3">
        <v>57</v>
      </c>
      <c r="V14" s="4">
        <f>IF(ISERROR(VLOOKUP($S$14,'TAR FIN'!$A$1:$O$88,15,0)),0,VLOOKUP($S$14,'TAR FIN'!$A$1:$O$88,15,0))</f>
        <v>0</v>
      </c>
      <c r="W14" s="4">
        <f>IF(ISERROR(VLOOKUP($T$14,'TAR FIN'!$A$1:$O$88,15,0)),0,VLOOKUP($T$14,'TAR FIN'!$A$1:$O$88,15,0))</f>
        <v>83.46</v>
      </c>
      <c r="X14" s="4">
        <f>IF(ISERROR(VLOOKUP($U$14,'TAR FIN'!$A$1:$O$88,15,0)),0,VLOOKUP($U$14,'TAR FIN'!$A$1:$O$88,15,0))</f>
        <v>84.82</v>
      </c>
      <c r="Y14" s="4"/>
      <c r="Z14" s="4">
        <f ca="1">('TUSD BE'!$AM$21+'TUSD BF'!$AM$21+'TUSD CVA'!$AM$21-('TUSD BE'!$P$21+'TUSD BF'!$P$21+'TUSD CVA'!$P$21)-('TUSD BE'!$Q$21+'TUSD BF'!$Q$21+'TUSD CVA'!$Q$21)-('TUSD BE'!$R$21+'TUSD BF'!$R$21+'TUSD CVA'!$R$21))*(1-CUSTOS!$M$34)</f>
        <v>121.42333418640717</v>
      </c>
      <c r="AA14" s="4">
        <f>('TE BE'!$AB$11+'TE BF'!$AB$11+'TE CVA'!$AB$11)*(1-CUSTOS!$M$34)</f>
        <v>66.852629922104782</v>
      </c>
      <c r="AB14" s="4">
        <f t="shared" si="0"/>
        <v>0</v>
      </c>
      <c r="AC14" s="4">
        <f>(L14-M14)*(W14+X14)+($W$43+$X$43-$W$14-$X$14)*(L14)</f>
        <v>2456.4072000000001</v>
      </c>
      <c r="AD14" s="4">
        <f t="shared" si="1"/>
        <v>0</v>
      </c>
      <c r="AE14" s="4">
        <f ca="1">(L14-M14)*(Z14+AA14)+($Z$43+$AA$43-$Z$14-$AA$14)*(L14)</f>
        <v>2748.2911446582507</v>
      </c>
      <c r="AF14" s="3" t="s">
        <v>624</v>
      </c>
    </row>
    <row r="15" spans="1:36" ht="11.25" customHeight="1" x14ac:dyDescent="0.3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30</v>
      </c>
      <c r="F15" s="3" t="s">
        <v>25</v>
      </c>
      <c r="G15" s="3" t="s">
        <v>25</v>
      </c>
      <c r="H15" s="3" t="s">
        <v>25</v>
      </c>
      <c r="I15" s="6">
        <v>44440</v>
      </c>
      <c r="J15" s="4">
        <v>0</v>
      </c>
      <c r="K15" s="4">
        <v>0</v>
      </c>
      <c r="L15" s="4">
        <v>10.137</v>
      </c>
      <c r="M15" s="4">
        <v>10.137</v>
      </c>
      <c r="N15" s="4">
        <v>10.137</v>
      </c>
      <c r="O15" s="4">
        <v>10.137</v>
      </c>
      <c r="P15" s="4">
        <v>36</v>
      </c>
      <c r="Q15" s="3" t="s">
        <v>26</v>
      </c>
      <c r="R15" s="3">
        <v>0</v>
      </c>
      <c r="S15" s="3">
        <v>0</v>
      </c>
      <c r="T15" s="3">
        <v>20</v>
      </c>
      <c r="U15" s="3">
        <v>58</v>
      </c>
      <c r="V15" s="4">
        <f>IF(ISERROR(VLOOKUP($S$15,'TAR FIN'!$A$1:$O$88,15,0)),0,VLOOKUP($S$15,'TAR FIN'!$A$1:$O$88,15,0))</f>
        <v>0</v>
      </c>
      <c r="W15" s="4">
        <f>IF(ISERROR(VLOOKUP($T$15,'TAR FIN'!$A$1:$O$88,15,0)),0,VLOOKUP($T$15,'TAR FIN'!$A$1:$O$88,15,0))</f>
        <v>143.07</v>
      </c>
      <c r="X15" s="4">
        <f>IF(ISERROR(VLOOKUP($U$15,'TAR FIN'!$A$1:$O$88,15,0)),0,VLOOKUP($U$15,'TAR FIN'!$A$1:$O$88,15,0))</f>
        <v>145.41</v>
      </c>
      <c r="Y15" s="4"/>
      <c r="Z15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5" s="4">
        <f>('TE BE'!$AB$12+'TE BF'!$AB$12+'TE CVA'!$AB$12)*(1-CUSTOS!$M$35)</f>
        <v>114.60450843789393</v>
      </c>
      <c r="AB15" s="4">
        <f t="shared" si="0"/>
        <v>0</v>
      </c>
      <c r="AC15" s="4">
        <f>(L15-M15)*(W15+X15)+($W$43+$X$43-$W$15-$X$15)*(L15)</f>
        <v>1949.5478399999997</v>
      </c>
      <c r="AD15" s="4">
        <f t="shared" si="1"/>
        <v>0</v>
      </c>
      <c r="AE15" s="4">
        <f ca="1">(L15-M15)*(Z15+AA15)+($Z$43+$AA$43-$Z$15-$AA$15)*(L15)</f>
        <v>2181.203940763412</v>
      </c>
      <c r="AF15" s="3" t="s">
        <v>624</v>
      </c>
    </row>
    <row r="16" spans="1:36" ht="11.25" customHeight="1" x14ac:dyDescent="0.3">
      <c r="A16" s="3" t="s">
        <v>27</v>
      </c>
      <c r="B16" s="3" t="s">
        <v>22</v>
      </c>
      <c r="C16" s="3" t="s">
        <v>23</v>
      </c>
      <c r="D16" s="3" t="s">
        <v>24</v>
      </c>
      <c r="E16" s="3" t="s">
        <v>30</v>
      </c>
      <c r="F16" s="3" t="s">
        <v>25</v>
      </c>
      <c r="G16" s="3" t="s">
        <v>25</v>
      </c>
      <c r="H16" s="3" t="s">
        <v>25</v>
      </c>
      <c r="I16" s="6">
        <v>44440</v>
      </c>
      <c r="J16" s="4">
        <v>0</v>
      </c>
      <c r="K16" s="4">
        <v>0</v>
      </c>
      <c r="L16" s="4">
        <v>-0.14000000000000001</v>
      </c>
      <c r="M16" s="4">
        <v>-0.14000000000000001</v>
      </c>
      <c r="N16" s="4">
        <v>-0.14000000000000001</v>
      </c>
      <c r="O16" s="4">
        <v>-0.14000000000000001</v>
      </c>
      <c r="P16" s="4">
        <v>0</v>
      </c>
      <c r="Q16" s="3" t="s">
        <v>26</v>
      </c>
      <c r="R16" s="3">
        <v>0</v>
      </c>
      <c r="S16" s="3">
        <v>0</v>
      </c>
      <c r="T16" s="3">
        <v>20</v>
      </c>
      <c r="U16" s="3">
        <v>58</v>
      </c>
      <c r="V16" s="4">
        <f>IF(ISERROR(VLOOKUP($S$16,'TAR FIN'!$A$1:$O$88,15,0)),0,VLOOKUP($S$16,'TAR FIN'!$A$1:$O$88,15,0))</f>
        <v>0</v>
      </c>
      <c r="W16" s="4">
        <f>IF(ISERROR(VLOOKUP($T$16,'TAR FIN'!$A$1:$O$88,15,0)),0,VLOOKUP($T$16,'TAR FIN'!$A$1:$O$88,15,0))</f>
        <v>143.07</v>
      </c>
      <c r="X16" s="4">
        <f>IF(ISERROR(VLOOKUP($U$16,'TAR FIN'!$A$1:$O$88,15,0)),0,VLOOKUP($U$16,'TAR FIN'!$A$1:$O$88,15,0))</f>
        <v>145.41</v>
      </c>
      <c r="Y16" s="4"/>
      <c r="Z16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6" s="4">
        <f>('TE BE'!$AB$12+'TE BF'!$AB$12+'TE CVA'!$AB$12)*(1-CUSTOS!$M$35)</f>
        <v>114.60450843789393</v>
      </c>
      <c r="AB16" s="4">
        <f t="shared" si="0"/>
        <v>0</v>
      </c>
      <c r="AC16" s="4">
        <f>(L16-M16)*(W16+X16)+($W$43+$X$43-$W$16-$X$16)*(L16)</f>
        <v>-26.924799999999998</v>
      </c>
      <c r="AD16" s="4">
        <f t="shared" si="1"/>
        <v>0</v>
      </c>
      <c r="AE16" s="4">
        <f ca="1">(L16-M16)*(Z16+AA16)+($Z$43+$AA$43-$Z$16-$AA$16)*(L16)</f>
        <v>-30.124154257361912</v>
      </c>
      <c r="AF16" s="3" t="s">
        <v>624</v>
      </c>
    </row>
    <row r="17" spans="1:32" ht="11.25" customHeight="1" x14ac:dyDescent="0.3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30</v>
      </c>
      <c r="F17" s="3" t="s">
        <v>25</v>
      </c>
      <c r="G17" s="3" t="s">
        <v>25</v>
      </c>
      <c r="H17" s="3" t="s">
        <v>25</v>
      </c>
      <c r="I17" s="6">
        <v>44470</v>
      </c>
      <c r="J17" s="4">
        <v>0</v>
      </c>
      <c r="K17" s="4">
        <v>0</v>
      </c>
      <c r="L17" s="4">
        <v>10.64</v>
      </c>
      <c r="M17" s="4">
        <v>10.64</v>
      </c>
      <c r="N17" s="4">
        <v>10.64</v>
      </c>
      <c r="O17" s="4">
        <v>10.64</v>
      </c>
      <c r="P17" s="4">
        <v>34</v>
      </c>
      <c r="Q17" s="3" t="s">
        <v>26</v>
      </c>
      <c r="R17" s="3">
        <v>0</v>
      </c>
      <c r="S17" s="3">
        <v>0</v>
      </c>
      <c r="T17" s="3">
        <v>20</v>
      </c>
      <c r="U17" s="3">
        <v>58</v>
      </c>
      <c r="V17" s="4">
        <f>IF(ISERROR(VLOOKUP($S$17,'TAR FIN'!$A$1:$O$88,15,0)),0,VLOOKUP($S$17,'TAR FIN'!$A$1:$O$88,15,0))</f>
        <v>0</v>
      </c>
      <c r="W17" s="4">
        <f>IF(ISERROR(VLOOKUP($T$17,'TAR FIN'!$A$1:$O$88,15,0)),0,VLOOKUP($T$17,'TAR FIN'!$A$1:$O$88,15,0))</f>
        <v>143.07</v>
      </c>
      <c r="X17" s="4">
        <f>IF(ISERROR(VLOOKUP($U$17,'TAR FIN'!$A$1:$O$88,15,0)),0,VLOOKUP($U$17,'TAR FIN'!$A$1:$O$88,15,0))</f>
        <v>145.41</v>
      </c>
      <c r="Y17" s="4"/>
      <c r="Z17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7" s="4">
        <f>('TE BE'!$AB$12+'TE BF'!$AB$12+'TE CVA'!$AB$12)*(1-CUSTOS!$M$35)</f>
        <v>114.60450843789393</v>
      </c>
      <c r="AB17" s="4">
        <f t="shared" si="0"/>
        <v>0</v>
      </c>
      <c r="AC17" s="4">
        <f>(L17-M17)*(W17+X17)+($W$43+$X$43-$W$17-$X$17)*(L17)</f>
        <v>2046.2847999999997</v>
      </c>
      <c r="AD17" s="4">
        <f t="shared" si="1"/>
        <v>0</v>
      </c>
      <c r="AE17" s="4">
        <f ca="1">(L17-M17)*(Z17+AA17)+($Z$43+$AA$43-$Z$17-$AA$17)*(L17)</f>
        <v>2289.4357235595053</v>
      </c>
      <c r="AF17" s="3" t="s">
        <v>624</v>
      </c>
    </row>
    <row r="18" spans="1:32" ht="11.25" customHeight="1" x14ac:dyDescent="0.3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30</v>
      </c>
      <c r="F18" s="3" t="s">
        <v>25</v>
      </c>
      <c r="G18" s="3" t="s">
        <v>25</v>
      </c>
      <c r="H18" s="3" t="s">
        <v>25</v>
      </c>
      <c r="I18" s="6">
        <v>44501</v>
      </c>
      <c r="J18" s="4">
        <v>0</v>
      </c>
      <c r="K18" s="4">
        <v>0</v>
      </c>
      <c r="L18" s="4">
        <v>10.894</v>
      </c>
      <c r="M18" s="4">
        <v>10.894</v>
      </c>
      <c r="N18" s="4">
        <v>10.894</v>
      </c>
      <c r="O18" s="4">
        <v>10.894</v>
      </c>
      <c r="P18" s="4">
        <v>40</v>
      </c>
      <c r="Q18" s="3" t="s">
        <v>26</v>
      </c>
      <c r="R18" s="3">
        <v>0</v>
      </c>
      <c r="S18" s="3">
        <v>0</v>
      </c>
      <c r="T18" s="3">
        <v>20</v>
      </c>
      <c r="U18" s="3">
        <v>58</v>
      </c>
      <c r="V18" s="4">
        <f>IF(ISERROR(VLOOKUP($S$18,'TAR FIN'!$A$1:$O$88,15,0)),0,VLOOKUP($S$18,'TAR FIN'!$A$1:$O$88,15,0))</f>
        <v>0</v>
      </c>
      <c r="W18" s="4">
        <f>IF(ISERROR(VLOOKUP($T$18,'TAR FIN'!$A$1:$O$88,15,0)),0,VLOOKUP($T$18,'TAR FIN'!$A$1:$O$88,15,0))</f>
        <v>143.07</v>
      </c>
      <c r="X18" s="4">
        <f>IF(ISERROR(VLOOKUP($U$18,'TAR FIN'!$A$1:$O$88,15,0)),0,VLOOKUP($U$18,'TAR FIN'!$A$1:$O$88,15,0))</f>
        <v>145.41</v>
      </c>
      <c r="Y18" s="4"/>
      <c r="Z18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8" s="4">
        <f>('TE BE'!$AB$12+'TE BF'!$AB$12+'TE CVA'!$AB$12)*(1-CUSTOS!$M$35)</f>
        <v>114.60450843789393</v>
      </c>
      <c r="AB18" s="4">
        <f t="shared" si="0"/>
        <v>0</v>
      </c>
      <c r="AC18" s="4">
        <f>(L18-M18)*(W18+X18)+($W$43+$X$43-$W$18-$X$18)*(L18)</f>
        <v>2095.1340799999998</v>
      </c>
      <c r="AD18" s="4">
        <f t="shared" si="1"/>
        <v>0</v>
      </c>
      <c r="AE18" s="4">
        <f ca="1">(L18-M18)*(Z18+AA18)+($Z$43+$AA$43-$Z$18-$AA$18)*(L18)</f>
        <v>2344.0895462835761</v>
      </c>
      <c r="AF18" s="3" t="s">
        <v>624</v>
      </c>
    </row>
    <row r="19" spans="1:32" ht="11.25" customHeight="1" x14ac:dyDescent="0.3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30</v>
      </c>
      <c r="F19" s="3" t="s">
        <v>25</v>
      </c>
      <c r="G19" s="3" t="s">
        <v>25</v>
      </c>
      <c r="H19" s="3" t="s">
        <v>25</v>
      </c>
      <c r="I19" s="6">
        <v>44531</v>
      </c>
      <c r="J19" s="4">
        <v>0</v>
      </c>
      <c r="K19" s="4">
        <v>0</v>
      </c>
      <c r="L19" s="4">
        <v>11.026</v>
      </c>
      <c r="M19" s="4">
        <v>11.026</v>
      </c>
      <c r="N19" s="4">
        <v>11.026</v>
      </c>
      <c r="O19" s="4">
        <v>11.026</v>
      </c>
      <c r="P19" s="4">
        <v>37</v>
      </c>
      <c r="Q19" s="3" t="s">
        <v>26</v>
      </c>
      <c r="R19" s="3">
        <v>0</v>
      </c>
      <c r="S19" s="3">
        <v>0</v>
      </c>
      <c r="T19" s="3">
        <v>20</v>
      </c>
      <c r="U19" s="3">
        <v>58</v>
      </c>
      <c r="V19" s="4">
        <f>IF(ISERROR(VLOOKUP($S$19,'TAR FIN'!$A$1:$O$88,15,0)),0,VLOOKUP($S$19,'TAR FIN'!$A$1:$O$88,15,0))</f>
        <v>0</v>
      </c>
      <c r="W19" s="4">
        <f>IF(ISERROR(VLOOKUP($T$19,'TAR FIN'!$A$1:$O$88,15,0)),0,VLOOKUP($T$19,'TAR FIN'!$A$1:$O$88,15,0))</f>
        <v>143.07</v>
      </c>
      <c r="X19" s="4">
        <f>IF(ISERROR(VLOOKUP($U$19,'TAR FIN'!$A$1:$O$88,15,0)),0,VLOOKUP($U$19,'TAR FIN'!$A$1:$O$88,15,0))</f>
        <v>145.41</v>
      </c>
      <c r="Y19" s="4"/>
      <c r="Z19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19" s="4">
        <f>('TE BE'!$AB$12+'TE BF'!$AB$12+'TE CVA'!$AB$12)*(1-CUSTOS!$M$35)</f>
        <v>114.60450843789393</v>
      </c>
      <c r="AB19" s="4">
        <f t="shared" si="0"/>
        <v>0</v>
      </c>
      <c r="AC19" s="4">
        <f>(L19-M19)*(W19+X19)+($W$43+$X$43-$W$19-$X$19)*(L19)</f>
        <v>2120.5203199999996</v>
      </c>
      <c r="AD19" s="4">
        <f t="shared" si="1"/>
        <v>0</v>
      </c>
      <c r="AE19" s="4">
        <f ca="1">(L19-M19)*(Z19+AA19)+($Z$43+$AA$43-$Z$19-$AA$19)*(L19)</f>
        <v>2372.4923202976602</v>
      </c>
      <c r="AF19" s="3" t="s">
        <v>624</v>
      </c>
    </row>
    <row r="20" spans="1:32" ht="11.25" customHeight="1" x14ac:dyDescent="0.3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30</v>
      </c>
      <c r="F20" s="3" t="s">
        <v>25</v>
      </c>
      <c r="G20" s="3" t="s">
        <v>25</v>
      </c>
      <c r="H20" s="3" t="s">
        <v>25</v>
      </c>
      <c r="I20" s="6">
        <v>44562</v>
      </c>
      <c r="J20" s="4">
        <v>0</v>
      </c>
      <c r="K20" s="4">
        <v>0</v>
      </c>
      <c r="L20" s="4">
        <v>11.669</v>
      </c>
      <c r="M20" s="4">
        <v>11.669</v>
      </c>
      <c r="N20" s="4">
        <v>11.669</v>
      </c>
      <c r="O20" s="4">
        <v>11.669</v>
      </c>
      <c r="P20" s="4">
        <v>37</v>
      </c>
      <c r="Q20" s="3" t="s">
        <v>26</v>
      </c>
      <c r="R20" s="3">
        <v>0</v>
      </c>
      <c r="S20" s="3">
        <v>0</v>
      </c>
      <c r="T20" s="3">
        <v>20</v>
      </c>
      <c r="U20" s="3">
        <v>58</v>
      </c>
      <c r="V20" s="4">
        <f>IF(ISERROR(VLOOKUP($S$20,'TAR FIN'!$A$1:$O$88,15,0)),0,VLOOKUP($S$20,'TAR FIN'!$A$1:$O$88,15,0))</f>
        <v>0</v>
      </c>
      <c r="W20" s="4">
        <f>IF(ISERROR(VLOOKUP($T$20,'TAR FIN'!$A$1:$O$88,15,0)),0,VLOOKUP($T$20,'TAR FIN'!$A$1:$O$88,15,0))</f>
        <v>143.07</v>
      </c>
      <c r="X20" s="4">
        <f>IF(ISERROR(VLOOKUP($U$20,'TAR FIN'!$A$1:$O$88,15,0)),0,VLOOKUP($U$20,'TAR FIN'!$A$1:$O$88,15,0))</f>
        <v>145.41</v>
      </c>
      <c r="Y20" s="4"/>
      <c r="Z20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0" s="4">
        <f>('TE BE'!$AB$12+'TE BF'!$AB$12+'TE CVA'!$AB$12)*(1-CUSTOS!$M$35)</f>
        <v>114.60450843789393</v>
      </c>
      <c r="AB20" s="4">
        <f t="shared" si="0"/>
        <v>0</v>
      </c>
      <c r="AC20" s="4">
        <f>(L20-M20)*(W20+X20)+($W$43+$X$43-$W$20-$X$20)*(L20)</f>
        <v>2244.1820799999996</v>
      </c>
      <c r="AD20" s="4">
        <f t="shared" si="1"/>
        <v>0</v>
      </c>
      <c r="AE20" s="4">
        <f ca="1">(L20-M20)*(Z20+AA20)+($Z$43+$AA$43-$Z$20-$AA$20)*(L20)</f>
        <v>2510.8482573511151</v>
      </c>
      <c r="AF20" s="3" t="s">
        <v>624</v>
      </c>
    </row>
    <row r="21" spans="1:32" ht="11.25" customHeight="1" x14ac:dyDescent="0.3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30</v>
      </c>
      <c r="F21" s="3" t="s">
        <v>25</v>
      </c>
      <c r="G21" s="3" t="s">
        <v>25</v>
      </c>
      <c r="H21" s="3" t="s">
        <v>25</v>
      </c>
      <c r="I21" s="6">
        <v>44593</v>
      </c>
      <c r="J21" s="4">
        <v>0</v>
      </c>
      <c r="K21" s="4">
        <v>0</v>
      </c>
      <c r="L21" s="4">
        <v>12.263</v>
      </c>
      <c r="M21" s="4">
        <v>12.263</v>
      </c>
      <c r="N21" s="4">
        <v>12.263</v>
      </c>
      <c r="O21" s="4">
        <v>12.263</v>
      </c>
      <c r="P21" s="4">
        <v>22</v>
      </c>
      <c r="Q21" s="3" t="s">
        <v>26</v>
      </c>
      <c r="R21" s="3">
        <v>0</v>
      </c>
      <c r="S21" s="3">
        <v>0</v>
      </c>
      <c r="T21" s="3">
        <v>20</v>
      </c>
      <c r="U21" s="3">
        <v>58</v>
      </c>
      <c r="V21" s="4">
        <f>IF(ISERROR(VLOOKUP($S$21,'TAR FIN'!$A$1:$O$88,15,0)),0,VLOOKUP($S$21,'TAR FIN'!$A$1:$O$88,15,0))</f>
        <v>0</v>
      </c>
      <c r="W21" s="4">
        <f>IF(ISERROR(VLOOKUP($T$21,'TAR FIN'!$A$1:$O$88,15,0)),0,VLOOKUP($T$21,'TAR FIN'!$A$1:$O$88,15,0))</f>
        <v>143.07</v>
      </c>
      <c r="X21" s="4">
        <f>IF(ISERROR(VLOOKUP($U$21,'TAR FIN'!$A$1:$O$88,15,0)),0,VLOOKUP($U$21,'TAR FIN'!$A$1:$O$88,15,0))</f>
        <v>145.41</v>
      </c>
      <c r="Y21" s="4"/>
      <c r="Z21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1" s="4">
        <f>('TE BE'!$AB$12+'TE BF'!$AB$12+'TE CVA'!$AB$12)*(1-CUSTOS!$M$35)</f>
        <v>114.60450843789393</v>
      </c>
      <c r="AB21" s="4">
        <f t="shared" si="0"/>
        <v>0</v>
      </c>
      <c r="AC21" s="4">
        <f>(L21-M21)*(W21+X21)+($W$43+$X$43-$W$21-$X$21)*(L21)</f>
        <v>2358.4201599999997</v>
      </c>
      <c r="AD21" s="4">
        <f t="shared" si="1"/>
        <v>0</v>
      </c>
      <c r="AE21" s="4">
        <f ca="1">(L21-M21)*(Z21+AA21)+($Z$43+$AA$43-$Z$21-$AA$21)*(L21)</f>
        <v>2638.6607404144934</v>
      </c>
      <c r="AF21" s="3" t="s">
        <v>624</v>
      </c>
    </row>
    <row r="22" spans="1:32" ht="11.25" customHeight="1" x14ac:dyDescent="0.3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30</v>
      </c>
      <c r="F22" s="3" t="s">
        <v>25</v>
      </c>
      <c r="G22" s="3" t="s">
        <v>25</v>
      </c>
      <c r="H22" s="3" t="s">
        <v>25</v>
      </c>
      <c r="I22" s="6">
        <v>44621</v>
      </c>
      <c r="J22" s="4">
        <v>0</v>
      </c>
      <c r="K22" s="4">
        <v>0</v>
      </c>
      <c r="L22" s="4">
        <v>14.694000000000001</v>
      </c>
      <c r="M22" s="4">
        <v>14.694000000000001</v>
      </c>
      <c r="N22" s="4">
        <v>14.694000000000001</v>
      </c>
      <c r="O22" s="4">
        <v>14.694000000000001</v>
      </c>
      <c r="P22" s="4">
        <v>44</v>
      </c>
      <c r="Q22" s="3" t="s">
        <v>26</v>
      </c>
      <c r="R22" s="3">
        <v>0</v>
      </c>
      <c r="S22" s="3">
        <v>0</v>
      </c>
      <c r="T22" s="3">
        <v>20</v>
      </c>
      <c r="U22" s="3">
        <v>58</v>
      </c>
      <c r="V22" s="4">
        <f>IF(ISERROR(VLOOKUP($S$22,'TAR FIN'!$A$1:$O$88,15,0)),0,VLOOKUP($S$22,'TAR FIN'!$A$1:$O$88,15,0))</f>
        <v>0</v>
      </c>
      <c r="W22" s="4">
        <f>IF(ISERROR(VLOOKUP($T$22,'TAR FIN'!$A$1:$O$88,15,0)),0,VLOOKUP($T$22,'TAR FIN'!$A$1:$O$88,15,0))</f>
        <v>143.07</v>
      </c>
      <c r="X22" s="4">
        <f>IF(ISERROR(VLOOKUP($U$22,'TAR FIN'!$A$1:$O$88,15,0)),0,VLOOKUP($U$22,'TAR FIN'!$A$1:$O$88,15,0))</f>
        <v>145.41</v>
      </c>
      <c r="Y22" s="4"/>
      <c r="Z22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2" s="4">
        <f>('TE BE'!$AB$12+'TE BF'!$AB$12+'TE CVA'!$AB$12)*(1-CUSTOS!$M$35)</f>
        <v>114.60450843789393</v>
      </c>
      <c r="AB22" s="4">
        <f t="shared" si="0"/>
        <v>0</v>
      </c>
      <c r="AC22" s="4">
        <f>(L22-M22)*(W22+X22)+($W$43+$X$43-$W$22-$X$22)*(L22)</f>
        <v>2825.9500799999996</v>
      </c>
      <c r="AD22" s="4">
        <f t="shared" si="1"/>
        <v>0</v>
      </c>
      <c r="AE22" s="4">
        <f ca="1">(L22-M22)*(Z22+AA22)+($Z$43+$AA$43-$Z$22-$AA$22)*(L22)</f>
        <v>3161.7451618405426</v>
      </c>
      <c r="AF22" s="3" t="s">
        <v>624</v>
      </c>
    </row>
    <row r="23" spans="1:32" ht="11.25" customHeight="1" x14ac:dyDescent="0.3">
      <c r="A23" s="3" t="s">
        <v>27</v>
      </c>
      <c r="B23" s="3" t="s">
        <v>22</v>
      </c>
      <c r="C23" s="3" t="s">
        <v>23</v>
      </c>
      <c r="D23" s="3" t="s">
        <v>24</v>
      </c>
      <c r="E23" s="3" t="s">
        <v>30</v>
      </c>
      <c r="F23" s="3" t="s">
        <v>25</v>
      </c>
      <c r="G23" s="3" t="s">
        <v>25</v>
      </c>
      <c r="H23" s="3" t="s">
        <v>25</v>
      </c>
      <c r="I23" s="6">
        <v>44621</v>
      </c>
      <c r="J23" s="4">
        <v>0</v>
      </c>
      <c r="K23" s="4">
        <v>0</v>
      </c>
      <c r="L23" s="4">
        <v>-5.0000000000000001E-3</v>
      </c>
      <c r="M23" s="4">
        <v>-5.0000000000000001E-3</v>
      </c>
      <c r="N23" s="4">
        <v>-5.0000000000000001E-3</v>
      </c>
      <c r="O23" s="4">
        <v>-5.0000000000000001E-3</v>
      </c>
      <c r="P23" s="4">
        <v>0</v>
      </c>
      <c r="Q23" s="3" t="s">
        <v>26</v>
      </c>
      <c r="R23" s="3">
        <v>0</v>
      </c>
      <c r="S23" s="3">
        <v>0</v>
      </c>
      <c r="T23" s="3">
        <v>20</v>
      </c>
      <c r="U23" s="3">
        <v>58</v>
      </c>
      <c r="V23" s="4">
        <f>IF(ISERROR(VLOOKUP($S$23,'TAR FIN'!$A$1:$O$88,15,0)),0,VLOOKUP($S$23,'TAR FIN'!$A$1:$O$88,15,0))</f>
        <v>0</v>
      </c>
      <c r="W23" s="4">
        <f>IF(ISERROR(VLOOKUP($T$23,'TAR FIN'!$A$1:$O$88,15,0)),0,VLOOKUP($T$23,'TAR FIN'!$A$1:$O$88,15,0))</f>
        <v>143.07</v>
      </c>
      <c r="X23" s="4">
        <f>IF(ISERROR(VLOOKUP($U$23,'TAR FIN'!$A$1:$O$88,15,0)),0,VLOOKUP($U$23,'TAR FIN'!$A$1:$O$88,15,0))</f>
        <v>145.41</v>
      </c>
      <c r="Y23" s="4"/>
      <c r="Z23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3" s="4">
        <f>('TE BE'!$AB$12+'TE BF'!$AB$12+'TE CVA'!$AB$12)*(1-CUSTOS!$M$35)</f>
        <v>114.60450843789393</v>
      </c>
      <c r="AB23" s="4">
        <f t="shared" si="0"/>
        <v>0</v>
      </c>
      <c r="AC23" s="4">
        <f>(L23-M23)*(W23+X23)+($W$43+$X$43-$W$23-$X$23)*(L23)</f>
        <v>-0.9615999999999999</v>
      </c>
      <c r="AD23" s="4">
        <f t="shared" si="1"/>
        <v>0</v>
      </c>
      <c r="AE23" s="4">
        <f ca="1">(L23-M23)*(Z23+AA23)+($Z$43+$AA$43-$Z$23-$AA$23)*(L23)</f>
        <v>-1.0758626520486396</v>
      </c>
      <c r="AF23" s="3" t="s">
        <v>624</v>
      </c>
    </row>
    <row r="24" spans="1:32" ht="11.25" customHeight="1" x14ac:dyDescent="0.3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30</v>
      </c>
      <c r="F24" s="3" t="s">
        <v>25</v>
      </c>
      <c r="G24" s="3" t="s">
        <v>25</v>
      </c>
      <c r="H24" s="3" t="s">
        <v>25</v>
      </c>
      <c r="I24" s="6">
        <v>44652</v>
      </c>
      <c r="J24" s="4">
        <v>0</v>
      </c>
      <c r="K24" s="4">
        <v>0</v>
      </c>
      <c r="L24" s="4">
        <v>15.435</v>
      </c>
      <c r="M24" s="4">
        <v>15.435</v>
      </c>
      <c r="N24" s="4">
        <v>15.435</v>
      </c>
      <c r="O24" s="4">
        <v>15.435</v>
      </c>
      <c r="P24" s="4">
        <v>48</v>
      </c>
      <c r="Q24" s="3" t="s">
        <v>26</v>
      </c>
      <c r="R24" s="3">
        <v>0</v>
      </c>
      <c r="S24" s="3">
        <v>0</v>
      </c>
      <c r="T24" s="3">
        <v>20</v>
      </c>
      <c r="U24" s="3">
        <v>58</v>
      </c>
      <c r="V24" s="4">
        <f>IF(ISERROR(VLOOKUP($S$24,'TAR FIN'!$A$1:$O$88,15,0)),0,VLOOKUP($S$24,'TAR FIN'!$A$1:$O$88,15,0))</f>
        <v>0</v>
      </c>
      <c r="W24" s="4">
        <f>IF(ISERROR(VLOOKUP($T$24,'TAR FIN'!$A$1:$O$88,15,0)),0,VLOOKUP($T$24,'TAR FIN'!$A$1:$O$88,15,0))</f>
        <v>143.07</v>
      </c>
      <c r="X24" s="4">
        <f>IF(ISERROR(VLOOKUP($U$24,'TAR FIN'!$A$1:$O$88,15,0)),0,VLOOKUP($U$24,'TAR FIN'!$A$1:$O$88,15,0))</f>
        <v>145.41</v>
      </c>
      <c r="Y24" s="4"/>
      <c r="Z24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4" s="4">
        <f>('TE BE'!$AB$12+'TE BF'!$AB$12+'TE CVA'!$AB$12)*(1-CUSTOS!$M$35)</f>
        <v>114.60450843789393</v>
      </c>
      <c r="AB24" s="4">
        <f t="shared" si="0"/>
        <v>0</v>
      </c>
      <c r="AC24" s="4">
        <f>(L24-M24)*(W24+X24)+($W$43+$X$43-$W$24-$X$24)*(L24)</f>
        <v>2968.4591999999993</v>
      </c>
      <c r="AD24" s="4">
        <f t="shared" si="1"/>
        <v>0</v>
      </c>
      <c r="AE24" s="4">
        <f ca="1">(L24-M24)*(Z24+AA24)+($Z$43+$AA$43-$Z$24-$AA$24)*(L24)</f>
        <v>3321.1880068741507</v>
      </c>
      <c r="AF24" s="3" t="s">
        <v>624</v>
      </c>
    </row>
    <row r="25" spans="1:32" ht="11.25" customHeight="1" x14ac:dyDescent="0.3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30</v>
      </c>
      <c r="F25" s="3" t="s">
        <v>25</v>
      </c>
      <c r="G25" s="3" t="s">
        <v>25</v>
      </c>
      <c r="H25" s="3" t="s">
        <v>25</v>
      </c>
      <c r="I25" s="6">
        <v>44682</v>
      </c>
      <c r="J25" s="4">
        <v>0</v>
      </c>
      <c r="K25" s="4">
        <v>0</v>
      </c>
      <c r="L25" s="4">
        <v>16.388000000000002</v>
      </c>
      <c r="M25" s="4">
        <v>16.388000000000002</v>
      </c>
      <c r="N25" s="4">
        <v>16.388000000000002</v>
      </c>
      <c r="O25" s="4">
        <v>16.388000000000002</v>
      </c>
      <c r="P25" s="4">
        <v>74</v>
      </c>
      <c r="Q25" s="3" t="s">
        <v>26</v>
      </c>
      <c r="R25" s="3">
        <v>0</v>
      </c>
      <c r="S25" s="3">
        <v>0</v>
      </c>
      <c r="T25" s="3">
        <v>20</v>
      </c>
      <c r="U25" s="3">
        <v>58</v>
      </c>
      <c r="V25" s="4">
        <f>IF(ISERROR(VLOOKUP($S$25,'TAR FIN'!$A$1:$O$88,15,0)),0,VLOOKUP($S$25,'TAR FIN'!$A$1:$O$88,15,0))</f>
        <v>0</v>
      </c>
      <c r="W25" s="4">
        <f>IF(ISERROR(VLOOKUP($T$25,'TAR FIN'!$A$1:$O$88,15,0)),0,VLOOKUP($T$25,'TAR FIN'!$A$1:$O$88,15,0))</f>
        <v>143.07</v>
      </c>
      <c r="X25" s="4">
        <f>IF(ISERROR(VLOOKUP($U$25,'TAR FIN'!$A$1:$O$88,15,0)),0,VLOOKUP($U$25,'TAR FIN'!$A$1:$O$88,15,0))</f>
        <v>145.41</v>
      </c>
      <c r="Y25" s="4"/>
      <c r="Z25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5" s="4">
        <f>('TE BE'!$AB$12+'TE BF'!$AB$12+'TE CVA'!$AB$12)*(1-CUSTOS!$M$35)</f>
        <v>114.60450843789393</v>
      </c>
      <c r="AB25" s="4">
        <f t="shared" si="0"/>
        <v>0</v>
      </c>
      <c r="AC25" s="4">
        <f>(L25-M25)*(W25+X25)+($W$43+$X$43-$W$25-$X$25)*(L25)</f>
        <v>3151.7401599999998</v>
      </c>
      <c r="AD25" s="4">
        <f t="shared" si="1"/>
        <v>0</v>
      </c>
      <c r="AE25" s="4">
        <f ca="1">(L25-M25)*(Z25+AA25)+($Z$43+$AA$43-$Z$25-$AA$25)*(L25)</f>
        <v>3526.2474283546217</v>
      </c>
      <c r="AF25" s="3" t="s">
        <v>624</v>
      </c>
    </row>
    <row r="26" spans="1:32" ht="11.25" customHeight="1" x14ac:dyDescent="0.3">
      <c r="A26" s="3" t="s">
        <v>21</v>
      </c>
      <c r="B26" s="3" t="s">
        <v>22</v>
      </c>
      <c r="C26" s="3" t="s">
        <v>23</v>
      </c>
      <c r="D26" s="3" t="s">
        <v>24</v>
      </c>
      <c r="E26" s="3" t="s">
        <v>30</v>
      </c>
      <c r="F26" s="3" t="s">
        <v>25</v>
      </c>
      <c r="G26" s="3" t="s">
        <v>25</v>
      </c>
      <c r="H26" s="3" t="s">
        <v>25</v>
      </c>
      <c r="I26" s="6">
        <v>44713</v>
      </c>
      <c r="J26" s="4">
        <v>0</v>
      </c>
      <c r="K26" s="4">
        <v>0</v>
      </c>
      <c r="L26" s="4">
        <v>15.46</v>
      </c>
      <c r="M26" s="4">
        <v>15.46</v>
      </c>
      <c r="N26" s="4">
        <v>15.46</v>
      </c>
      <c r="O26" s="4">
        <v>15.46</v>
      </c>
      <c r="P26" s="4">
        <v>60</v>
      </c>
      <c r="Q26" s="3" t="s">
        <v>26</v>
      </c>
      <c r="R26" s="3">
        <v>0</v>
      </c>
      <c r="S26" s="3">
        <v>0</v>
      </c>
      <c r="T26" s="3">
        <v>20</v>
      </c>
      <c r="U26" s="3">
        <v>58</v>
      </c>
      <c r="V26" s="4">
        <f>IF(ISERROR(VLOOKUP($S$26,'TAR FIN'!$A$1:$O$88,15,0)),0,VLOOKUP($S$26,'TAR FIN'!$A$1:$O$88,15,0))</f>
        <v>0</v>
      </c>
      <c r="W26" s="4">
        <f>IF(ISERROR(VLOOKUP($T$26,'TAR FIN'!$A$1:$O$88,15,0)),0,VLOOKUP($T$26,'TAR FIN'!$A$1:$O$88,15,0))</f>
        <v>143.07</v>
      </c>
      <c r="X26" s="4">
        <f>IF(ISERROR(VLOOKUP($U$26,'TAR FIN'!$A$1:$O$88,15,0)),0,VLOOKUP($U$26,'TAR FIN'!$A$1:$O$88,15,0))</f>
        <v>145.41</v>
      </c>
      <c r="Y26" s="4"/>
      <c r="Z26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6" s="4">
        <f>('TE BE'!$AB$12+'TE BF'!$AB$12+'TE CVA'!$AB$12)*(1-CUSTOS!$M$35)</f>
        <v>114.60450843789393</v>
      </c>
      <c r="AB26" s="4">
        <f t="shared" si="0"/>
        <v>0</v>
      </c>
      <c r="AC26" s="4">
        <f>(L26-M26)*(W26+X26)+($W$43+$X$43-$W$26-$X$26)*(L26)</f>
        <v>2973.2671999999998</v>
      </c>
      <c r="AD26" s="4">
        <f t="shared" si="1"/>
        <v>0</v>
      </c>
      <c r="AE26" s="4">
        <f ca="1">(L26-M26)*(Z26+AA26)+($Z$43+$AA$43-$Z$26-$AA$26)*(L26)</f>
        <v>3326.5673201343939</v>
      </c>
      <c r="AF26" s="3" t="s">
        <v>624</v>
      </c>
    </row>
    <row r="27" spans="1:32" ht="11.25" customHeight="1" x14ac:dyDescent="0.3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30</v>
      </c>
      <c r="F27" s="3" t="s">
        <v>25</v>
      </c>
      <c r="G27" s="3" t="s">
        <v>25</v>
      </c>
      <c r="H27" s="3" t="s">
        <v>25</v>
      </c>
      <c r="I27" s="6">
        <v>44743</v>
      </c>
      <c r="J27" s="4">
        <v>0</v>
      </c>
      <c r="K27" s="4">
        <v>0</v>
      </c>
      <c r="L27" s="4">
        <v>15.704000000000001</v>
      </c>
      <c r="M27" s="4">
        <v>15.704000000000001</v>
      </c>
      <c r="N27" s="4">
        <v>15.704000000000001</v>
      </c>
      <c r="O27" s="4">
        <v>15.704000000000001</v>
      </c>
      <c r="P27" s="4">
        <v>59</v>
      </c>
      <c r="Q27" s="3" t="s">
        <v>26</v>
      </c>
      <c r="R27" s="3">
        <v>0</v>
      </c>
      <c r="S27" s="3">
        <v>0</v>
      </c>
      <c r="T27" s="3">
        <v>20</v>
      </c>
      <c r="U27" s="3">
        <v>58</v>
      </c>
      <c r="V27" s="4">
        <f>IF(ISERROR(VLOOKUP($S$27,'TAR FIN'!$A$1:$O$88,15,0)),0,VLOOKUP($S$27,'TAR FIN'!$A$1:$O$88,15,0))</f>
        <v>0</v>
      </c>
      <c r="W27" s="4">
        <f>IF(ISERROR(VLOOKUP($T$27,'TAR FIN'!$A$1:$O$88,15,0)),0,VLOOKUP($T$27,'TAR FIN'!$A$1:$O$88,15,0))</f>
        <v>143.07</v>
      </c>
      <c r="X27" s="4">
        <f>IF(ISERROR(VLOOKUP($U$27,'TAR FIN'!$A$1:$O$88,15,0)),0,VLOOKUP($U$27,'TAR FIN'!$A$1:$O$88,15,0))</f>
        <v>145.41</v>
      </c>
      <c r="Y27" s="4"/>
      <c r="Z27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7" s="4">
        <f>('TE BE'!$AB$12+'TE BF'!$AB$12+'TE CVA'!$AB$12)*(1-CUSTOS!$M$35)</f>
        <v>114.60450843789393</v>
      </c>
      <c r="AB27" s="4">
        <f t="shared" si="0"/>
        <v>0</v>
      </c>
      <c r="AC27" s="4">
        <f>(L27-M27)*(W27+X27)+($W$43+$X$43-$W$27-$X$27)*(L27)</f>
        <v>3020.1932799999995</v>
      </c>
      <c r="AD27" s="4">
        <f t="shared" si="1"/>
        <v>0</v>
      </c>
      <c r="AE27" s="4">
        <f ca="1">(L27-M27)*(Z27+AA27)+($Z$43+$AA$43-$Z$27-$AA$27)*(L27)</f>
        <v>3379.0694175543676</v>
      </c>
      <c r="AF27" s="3" t="s">
        <v>624</v>
      </c>
    </row>
    <row r="28" spans="1:32" ht="11.25" customHeight="1" x14ac:dyDescent="0.3">
      <c r="A28" s="3" t="s">
        <v>55</v>
      </c>
      <c r="B28" s="3" t="s">
        <v>22</v>
      </c>
      <c r="C28" s="3" t="s">
        <v>23</v>
      </c>
      <c r="D28" s="3" t="s">
        <v>24</v>
      </c>
      <c r="E28" s="3" t="s">
        <v>30</v>
      </c>
      <c r="F28" s="3" t="s">
        <v>25</v>
      </c>
      <c r="G28" s="3" t="s">
        <v>25</v>
      </c>
      <c r="H28" s="3" t="s">
        <v>25</v>
      </c>
      <c r="I28" s="6">
        <v>44774</v>
      </c>
      <c r="J28" s="4">
        <v>0</v>
      </c>
      <c r="K28" s="4">
        <v>0</v>
      </c>
      <c r="L28" s="4">
        <v>15.704000000000001</v>
      </c>
      <c r="M28" s="4">
        <v>15.704000000000001</v>
      </c>
      <c r="N28" s="4">
        <v>15.704000000000001</v>
      </c>
      <c r="O28" s="4">
        <v>15.704000000000001</v>
      </c>
      <c r="P28" s="4">
        <v>59</v>
      </c>
      <c r="Q28" s="3" t="s">
        <v>26</v>
      </c>
      <c r="R28" s="3">
        <v>0</v>
      </c>
      <c r="S28" s="3">
        <v>0</v>
      </c>
      <c r="T28" s="3">
        <v>20</v>
      </c>
      <c r="U28" s="3">
        <v>58</v>
      </c>
      <c r="V28" s="4">
        <f>IF(ISERROR(VLOOKUP($S$28,'TAR FIN'!$A$1:$O$88,15,0)),0,VLOOKUP($S$28,'TAR FIN'!$A$1:$O$88,15,0))</f>
        <v>0</v>
      </c>
      <c r="W28" s="4">
        <f>IF(ISERROR(VLOOKUP($T$28,'TAR FIN'!$A$1:$O$88,15,0)),0,VLOOKUP($T$28,'TAR FIN'!$A$1:$O$88,15,0))</f>
        <v>143.07</v>
      </c>
      <c r="X28" s="4">
        <f>IF(ISERROR(VLOOKUP($U$28,'TAR FIN'!$A$1:$O$88,15,0)),0,VLOOKUP($U$28,'TAR FIN'!$A$1:$O$88,15,0))</f>
        <v>145.41</v>
      </c>
      <c r="Y28" s="4"/>
      <c r="Z28" s="4">
        <f ca="1">('TUSD BE'!$AM$22+'TUSD BF'!$AM$22+'TUSD CVA'!$AM$22-('TUSD BE'!$P$22+'TUSD BF'!$P$22+'TUSD CVA'!$P$22)-('TUSD BE'!$Q$22+'TUSD BF'!$Q$22+'TUSD CVA'!$Q$22)-('TUSD BE'!$R$22+'TUSD BF'!$R$22+'TUSD CVA'!$R$22))*(1-CUSTOS!$M$35)</f>
        <v>208.15428717669803</v>
      </c>
      <c r="AA28" s="4">
        <f>('TE BE'!$AB$12+'TE BF'!$AB$12+'TE CVA'!$AB$12)*(1-CUSTOS!$M$35)</f>
        <v>114.60450843789393</v>
      </c>
      <c r="AB28" s="4">
        <f t="shared" si="0"/>
        <v>0</v>
      </c>
      <c r="AC28" s="4">
        <f>(L28-M28)*(W28+X28)+($W$43+$X$43-$W$28-$X$28)*(L28)</f>
        <v>3020.1932799999995</v>
      </c>
      <c r="AD28" s="4">
        <f t="shared" si="1"/>
        <v>0</v>
      </c>
      <c r="AE28" s="4">
        <f ca="1">(L28-M28)*(Z28+AA28)+($Z$43+$AA$43-$Z$28-$AA$28)*(L28)</f>
        <v>3379.0694175543676</v>
      </c>
      <c r="AF28" s="3" t="s">
        <v>624</v>
      </c>
    </row>
    <row r="29" spans="1:32" ht="11.25" customHeight="1" x14ac:dyDescent="0.3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31</v>
      </c>
      <c r="F29" s="3" t="s">
        <v>25</v>
      </c>
      <c r="G29" s="3" t="s">
        <v>25</v>
      </c>
      <c r="H29" s="3" t="s">
        <v>25</v>
      </c>
      <c r="I29" s="6">
        <v>44440</v>
      </c>
      <c r="J29" s="4">
        <v>0</v>
      </c>
      <c r="K29" s="4">
        <v>0</v>
      </c>
      <c r="L29" s="4">
        <v>8.66</v>
      </c>
      <c r="M29" s="4">
        <v>8.66</v>
      </c>
      <c r="N29" s="4">
        <v>8.66</v>
      </c>
      <c r="O29" s="4">
        <v>8.66</v>
      </c>
      <c r="P29" s="4">
        <v>94</v>
      </c>
      <c r="Q29" s="3" t="s">
        <v>26</v>
      </c>
      <c r="R29" s="3">
        <v>0</v>
      </c>
      <c r="S29" s="3">
        <v>0</v>
      </c>
      <c r="T29" s="3">
        <v>21</v>
      </c>
      <c r="U29" s="3">
        <v>59</v>
      </c>
      <c r="V29" s="4">
        <f>IF(ISERROR(VLOOKUP($S$29,'TAR FIN'!$A$1:$O$88,15,0)),0,VLOOKUP($S$29,'TAR FIN'!$A$1:$O$88,15,0))</f>
        <v>0</v>
      </c>
      <c r="W29" s="4">
        <f>IF(ISERROR(VLOOKUP($T$29,'TAR FIN'!$A$1:$O$88,15,0)),0,VLOOKUP($T$29,'TAR FIN'!$A$1:$O$88,15,0))</f>
        <v>214.6</v>
      </c>
      <c r="X29" s="4">
        <f>IF(ISERROR(VLOOKUP($U$29,'TAR FIN'!$A$1:$O$88,15,0)),0,VLOOKUP($U$29,'TAR FIN'!$A$1:$O$88,15,0))</f>
        <v>218.11</v>
      </c>
      <c r="Y29" s="4"/>
      <c r="Z29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29" s="4">
        <f>('TE BE'!$AB$13+'TE BF'!$AB$13+'TE CVA'!$AB$13)*(1-CUSTOS!$M$36)</f>
        <v>171.9067626568409</v>
      </c>
      <c r="AB29" s="4">
        <f t="shared" si="0"/>
        <v>0</v>
      </c>
      <c r="AC29" s="4">
        <f>(L29-M29)*(W29+X29)+($W$43+$X$43-$W$29-$X$29)*(L29)</f>
        <v>416.45939999999928</v>
      </c>
      <c r="AD29" s="4">
        <f t="shared" si="1"/>
        <v>0</v>
      </c>
      <c r="AE29" s="4">
        <f ca="1">(L29-M29)*(Z29+AA29)+($Z$43+$AA$43-$Z$29-$AA$29)*(L29)</f>
        <v>465.84852833706083</v>
      </c>
      <c r="AF29" s="3" t="s">
        <v>624</v>
      </c>
    </row>
    <row r="30" spans="1:32" ht="11.25" customHeight="1" x14ac:dyDescent="0.3">
      <c r="A30" s="3" t="s">
        <v>27</v>
      </c>
      <c r="B30" s="3" t="s">
        <v>22</v>
      </c>
      <c r="C30" s="3" t="s">
        <v>23</v>
      </c>
      <c r="D30" s="3" t="s">
        <v>24</v>
      </c>
      <c r="E30" s="3" t="s">
        <v>31</v>
      </c>
      <c r="F30" s="3" t="s">
        <v>25</v>
      </c>
      <c r="G30" s="3" t="s">
        <v>25</v>
      </c>
      <c r="H30" s="3" t="s">
        <v>25</v>
      </c>
      <c r="I30" s="6">
        <v>44440</v>
      </c>
      <c r="J30" s="4">
        <v>0</v>
      </c>
      <c r="K30" s="4">
        <v>0</v>
      </c>
      <c r="L30" s="4">
        <v>-0.22600000000000001</v>
      </c>
      <c r="M30" s="4">
        <v>-0.22600000000000001</v>
      </c>
      <c r="N30" s="4">
        <v>-0.22600000000000001</v>
      </c>
      <c r="O30" s="4">
        <v>-0.22600000000000001</v>
      </c>
      <c r="P30" s="4">
        <v>0</v>
      </c>
      <c r="Q30" s="3" t="s">
        <v>26</v>
      </c>
      <c r="R30" s="3">
        <v>0</v>
      </c>
      <c r="S30" s="3">
        <v>0</v>
      </c>
      <c r="T30" s="3">
        <v>21</v>
      </c>
      <c r="U30" s="3">
        <v>59</v>
      </c>
      <c r="V30" s="4">
        <f>IF(ISERROR(VLOOKUP($S$30,'TAR FIN'!$A$1:$O$88,15,0)),0,VLOOKUP($S$30,'TAR FIN'!$A$1:$O$88,15,0))</f>
        <v>0</v>
      </c>
      <c r="W30" s="4">
        <f>IF(ISERROR(VLOOKUP($T$30,'TAR FIN'!$A$1:$O$88,15,0)),0,VLOOKUP($T$30,'TAR FIN'!$A$1:$O$88,15,0))</f>
        <v>214.6</v>
      </c>
      <c r="X30" s="4">
        <f>IF(ISERROR(VLOOKUP($U$30,'TAR FIN'!$A$1:$O$88,15,0)),0,VLOOKUP($U$30,'TAR FIN'!$A$1:$O$88,15,0))</f>
        <v>218.11</v>
      </c>
      <c r="Y30" s="4"/>
      <c r="Z30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0" s="4">
        <f>('TE BE'!$AB$13+'TE BF'!$AB$13+'TE CVA'!$AB$13)*(1-CUSTOS!$M$36)</f>
        <v>171.9067626568409</v>
      </c>
      <c r="AB30" s="4">
        <f t="shared" si="0"/>
        <v>0</v>
      </c>
      <c r="AC30" s="4">
        <f>(L30-M30)*(W30+X30)+($W$43+$X$43-$W$30-$X$30)*(L30)</f>
        <v>-10.868339999999982</v>
      </c>
      <c r="AD30" s="4">
        <f t="shared" si="1"/>
        <v>0</v>
      </c>
      <c r="AE30" s="4">
        <f ca="1">(L30-M30)*(Z30+AA30)+($Z$43+$AA$43-$Z$30-$AA$30)*(L30)</f>
        <v>-12.157247968149624</v>
      </c>
      <c r="AF30" s="3" t="s">
        <v>624</v>
      </c>
    </row>
    <row r="31" spans="1:32" ht="11.25" customHeight="1" x14ac:dyDescent="0.3">
      <c r="A31" s="3" t="s">
        <v>21</v>
      </c>
      <c r="B31" s="3" t="s">
        <v>22</v>
      </c>
      <c r="C31" s="3" t="s">
        <v>23</v>
      </c>
      <c r="D31" s="3" t="s">
        <v>24</v>
      </c>
      <c r="E31" s="3" t="s">
        <v>31</v>
      </c>
      <c r="F31" s="3" t="s">
        <v>25</v>
      </c>
      <c r="G31" s="3" t="s">
        <v>25</v>
      </c>
      <c r="H31" s="3" t="s">
        <v>25</v>
      </c>
      <c r="I31" s="6">
        <v>44470</v>
      </c>
      <c r="J31" s="4">
        <v>0</v>
      </c>
      <c r="K31" s="4">
        <v>0</v>
      </c>
      <c r="L31" s="4">
        <v>9.8420000000000005</v>
      </c>
      <c r="M31" s="4">
        <v>9.8420000000000005</v>
      </c>
      <c r="N31" s="4">
        <v>9.8420000000000005</v>
      </c>
      <c r="O31" s="4">
        <v>9.8420000000000005</v>
      </c>
      <c r="P31" s="4">
        <v>91</v>
      </c>
      <c r="Q31" s="3" t="s">
        <v>26</v>
      </c>
      <c r="R31" s="3">
        <v>0</v>
      </c>
      <c r="S31" s="3">
        <v>0</v>
      </c>
      <c r="T31" s="3">
        <v>21</v>
      </c>
      <c r="U31" s="3">
        <v>59</v>
      </c>
      <c r="V31" s="4">
        <f>IF(ISERROR(VLOOKUP($S$31,'TAR FIN'!$A$1:$O$88,15,0)),0,VLOOKUP($S$31,'TAR FIN'!$A$1:$O$88,15,0))</f>
        <v>0</v>
      </c>
      <c r="W31" s="4">
        <f>IF(ISERROR(VLOOKUP($T$31,'TAR FIN'!$A$1:$O$88,15,0)),0,VLOOKUP($T$31,'TAR FIN'!$A$1:$O$88,15,0))</f>
        <v>214.6</v>
      </c>
      <c r="X31" s="4">
        <f>IF(ISERROR(VLOOKUP($U$31,'TAR FIN'!$A$1:$O$88,15,0)),0,VLOOKUP($U$31,'TAR FIN'!$A$1:$O$88,15,0))</f>
        <v>218.11</v>
      </c>
      <c r="Y31" s="4"/>
      <c r="Z31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1" s="4">
        <f>('TE BE'!$AB$13+'TE BF'!$AB$13+'TE CVA'!$AB$13)*(1-CUSTOS!$M$36)</f>
        <v>171.9067626568409</v>
      </c>
      <c r="AB31" s="4">
        <f t="shared" si="0"/>
        <v>0</v>
      </c>
      <c r="AC31" s="4">
        <f>(L31-M31)*(W31+X31)+($W$43+$X$43-$W$31-$X$31)*(L31)</f>
        <v>473.30177999999921</v>
      </c>
      <c r="AD31" s="4">
        <f t="shared" si="1"/>
        <v>0</v>
      </c>
      <c r="AE31" s="4">
        <f ca="1">(L31-M31)*(Z31+AA31)+($Z$43+$AA$43-$Z$31-$AA$31)*(L31)</f>
        <v>529.43201107313541</v>
      </c>
      <c r="AF31" s="3" t="s">
        <v>624</v>
      </c>
    </row>
    <row r="32" spans="1:32" ht="11.25" customHeight="1" x14ac:dyDescent="0.3">
      <c r="A32" s="3" t="s">
        <v>21</v>
      </c>
      <c r="B32" s="3" t="s">
        <v>22</v>
      </c>
      <c r="C32" s="3" t="s">
        <v>23</v>
      </c>
      <c r="D32" s="3" t="s">
        <v>24</v>
      </c>
      <c r="E32" s="3" t="s">
        <v>31</v>
      </c>
      <c r="F32" s="3" t="s">
        <v>25</v>
      </c>
      <c r="G32" s="3" t="s">
        <v>25</v>
      </c>
      <c r="H32" s="3" t="s">
        <v>25</v>
      </c>
      <c r="I32" s="6">
        <v>44501</v>
      </c>
      <c r="J32" s="4">
        <v>0</v>
      </c>
      <c r="K32" s="4">
        <v>0</v>
      </c>
      <c r="L32" s="4">
        <v>9.7710000000000008</v>
      </c>
      <c r="M32" s="4">
        <v>9.7710000000000008</v>
      </c>
      <c r="N32" s="4">
        <v>9.7710000000000008</v>
      </c>
      <c r="O32" s="4">
        <v>9.7710000000000008</v>
      </c>
      <c r="P32" s="4">
        <v>93</v>
      </c>
      <c r="Q32" s="3" t="s">
        <v>26</v>
      </c>
      <c r="R32" s="3">
        <v>0</v>
      </c>
      <c r="S32" s="3">
        <v>0</v>
      </c>
      <c r="T32" s="3">
        <v>21</v>
      </c>
      <c r="U32" s="3">
        <v>59</v>
      </c>
      <c r="V32" s="4">
        <f>IF(ISERROR(VLOOKUP($S$32,'TAR FIN'!$A$1:$O$88,15,0)),0,VLOOKUP($S$32,'TAR FIN'!$A$1:$O$88,15,0))</f>
        <v>0</v>
      </c>
      <c r="W32" s="4">
        <f>IF(ISERROR(VLOOKUP($T$32,'TAR FIN'!$A$1:$O$88,15,0)),0,VLOOKUP($T$32,'TAR FIN'!$A$1:$O$88,15,0))</f>
        <v>214.6</v>
      </c>
      <c r="X32" s="4">
        <f>IF(ISERROR(VLOOKUP($U$32,'TAR FIN'!$A$1:$O$88,15,0)),0,VLOOKUP($U$32,'TAR FIN'!$A$1:$O$88,15,0))</f>
        <v>218.11</v>
      </c>
      <c r="Y32" s="4"/>
      <c r="Z32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2" s="4">
        <f>('TE BE'!$AB$13+'TE BF'!$AB$13+'TE CVA'!$AB$13)*(1-CUSTOS!$M$36)</f>
        <v>171.9067626568409</v>
      </c>
      <c r="AB32" s="4">
        <f t="shared" si="0"/>
        <v>0</v>
      </c>
      <c r="AC32" s="4">
        <f>(L32-M32)*(W32+X32)+($W$43+$X$43-$W$32-$X$32)*(L32)</f>
        <v>469.88738999999924</v>
      </c>
      <c r="AD32" s="4">
        <f t="shared" si="1"/>
        <v>0</v>
      </c>
      <c r="AE32" s="4">
        <f ca="1">(L32-M32)*(Z32+AA32)+($Z$43+$AA$43-$Z$32-$AA$32)*(L32)</f>
        <v>525.61269865836277</v>
      </c>
      <c r="AF32" s="3" t="s">
        <v>624</v>
      </c>
    </row>
    <row r="33" spans="1:32" ht="11.25" customHeight="1" x14ac:dyDescent="0.3">
      <c r="A33" s="3" t="s">
        <v>21</v>
      </c>
      <c r="B33" s="3" t="s">
        <v>22</v>
      </c>
      <c r="C33" s="3" t="s">
        <v>23</v>
      </c>
      <c r="D33" s="3" t="s">
        <v>24</v>
      </c>
      <c r="E33" s="3" t="s">
        <v>31</v>
      </c>
      <c r="F33" s="3" t="s">
        <v>25</v>
      </c>
      <c r="G33" s="3" t="s">
        <v>25</v>
      </c>
      <c r="H33" s="3" t="s">
        <v>25</v>
      </c>
      <c r="I33" s="6">
        <v>44531</v>
      </c>
      <c r="J33" s="4">
        <v>0</v>
      </c>
      <c r="K33" s="4">
        <v>0</v>
      </c>
      <c r="L33" s="4">
        <v>10.201000000000001</v>
      </c>
      <c r="M33" s="4">
        <v>10.201000000000001</v>
      </c>
      <c r="N33" s="4">
        <v>10.201000000000001</v>
      </c>
      <c r="O33" s="4">
        <v>10.201000000000001</v>
      </c>
      <c r="P33" s="4">
        <v>100</v>
      </c>
      <c r="Q33" s="3" t="s">
        <v>26</v>
      </c>
      <c r="R33" s="3">
        <v>0</v>
      </c>
      <c r="S33" s="3">
        <v>0</v>
      </c>
      <c r="T33" s="3">
        <v>21</v>
      </c>
      <c r="U33" s="3">
        <v>59</v>
      </c>
      <c r="V33" s="4">
        <f>IF(ISERROR(VLOOKUP($S$33,'TAR FIN'!$A$1:$O$88,15,0)),0,VLOOKUP($S$33,'TAR FIN'!$A$1:$O$88,15,0))</f>
        <v>0</v>
      </c>
      <c r="W33" s="4">
        <f>IF(ISERROR(VLOOKUP($T$33,'TAR FIN'!$A$1:$O$88,15,0)),0,VLOOKUP($T$33,'TAR FIN'!$A$1:$O$88,15,0))</f>
        <v>214.6</v>
      </c>
      <c r="X33" s="4">
        <f>IF(ISERROR(VLOOKUP($U$33,'TAR FIN'!$A$1:$O$88,15,0)),0,VLOOKUP($U$33,'TAR FIN'!$A$1:$O$88,15,0))</f>
        <v>218.11</v>
      </c>
      <c r="Y33" s="4"/>
      <c r="Z33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3" s="4">
        <f>('TE BE'!$AB$13+'TE BF'!$AB$13+'TE CVA'!$AB$13)*(1-CUSTOS!$M$36)</f>
        <v>171.9067626568409</v>
      </c>
      <c r="AB33" s="4">
        <f t="shared" si="0"/>
        <v>0</v>
      </c>
      <c r="AC33" s="4">
        <f>(L33-M33)*(W33+X33)+($W$43+$X$43-$W$33-$X$33)*(L33)</f>
        <v>490.56608999999918</v>
      </c>
      <c r="AD33" s="4">
        <f t="shared" si="1"/>
        <v>0</v>
      </c>
      <c r="AE33" s="4">
        <f ca="1">(L33-M33)*(Z33+AA33)+($Z$43+$AA$43-$Z$33-$AA$33)*(L33)</f>
        <v>548.74374567740858</v>
      </c>
      <c r="AF33" s="3" t="s">
        <v>624</v>
      </c>
    </row>
    <row r="34" spans="1:32" ht="11.25" customHeight="1" x14ac:dyDescent="0.3">
      <c r="A34" s="3" t="s">
        <v>21</v>
      </c>
      <c r="B34" s="3" t="s">
        <v>22</v>
      </c>
      <c r="C34" s="3" t="s">
        <v>23</v>
      </c>
      <c r="D34" s="3" t="s">
        <v>24</v>
      </c>
      <c r="E34" s="3" t="s">
        <v>31</v>
      </c>
      <c r="F34" s="3" t="s">
        <v>25</v>
      </c>
      <c r="G34" s="3" t="s">
        <v>25</v>
      </c>
      <c r="H34" s="3" t="s">
        <v>25</v>
      </c>
      <c r="I34" s="6">
        <v>44562</v>
      </c>
      <c r="J34" s="4">
        <v>0</v>
      </c>
      <c r="K34" s="4">
        <v>0</v>
      </c>
      <c r="L34" s="4">
        <v>11.513999999999999</v>
      </c>
      <c r="M34" s="4">
        <v>11.513999999999999</v>
      </c>
      <c r="N34" s="4">
        <v>11.513999999999999</v>
      </c>
      <c r="O34" s="4">
        <v>11.513999999999999</v>
      </c>
      <c r="P34" s="4">
        <v>88</v>
      </c>
      <c r="Q34" s="3" t="s">
        <v>26</v>
      </c>
      <c r="R34" s="3">
        <v>0</v>
      </c>
      <c r="S34" s="3">
        <v>0</v>
      </c>
      <c r="T34" s="3">
        <v>21</v>
      </c>
      <c r="U34" s="3">
        <v>59</v>
      </c>
      <c r="V34" s="4">
        <f>IF(ISERROR(VLOOKUP($S$34,'TAR FIN'!$A$1:$O$88,15,0)),0,VLOOKUP($S$34,'TAR FIN'!$A$1:$O$88,15,0))</f>
        <v>0</v>
      </c>
      <c r="W34" s="4">
        <f>IF(ISERROR(VLOOKUP($T$34,'TAR FIN'!$A$1:$O$88,15,0)),0,VLOOKUP($T$34,'TAR FIN'!$A$1:$O$88,15,0))</f>
        <v>214.6</v>
      </c>
      <c r="X34" s="4">
        <f>IF(ISERROR(VLOOKUP($U$34,'TAR FIN'!$A$1:$O$88,15,0)),0,VLOOKUP($U$34,'TAR FIN'!$A$1:$O$88,15,0))</f>
        <v>218.11</v>
      </c>
      <c r="Y34" s="4"/>
      <c r="Z34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4" s="4">
        <f>('TE BE'!$AB$13+'TE BF'!$AB$13+'TE CVA'!$AB$13)*(1-CUSTOS!$M$36)</f>
        <v>171.9067626568409</v>
      </c>
      <c r="AB34" s="4">
        <f t="shared" ref="AB34:AB65" si="4">(J34-K34)*V34</f>
        <v>0</v>
      </c>
      <c r="AC34" s="4">
        <f>(L34-M34)*(W34+X34)+($W$43+$X$43-$W$34-$X$34)*(L34)</f>
        <v>553.70825999999897</v>
      </c>
      <c r="AD34" s="4">
        <f t="shared" ref="AD34:AD65" si="5">(J34-K34)*Y34</f>
        <v>0</v>
      </c>
      <c r="AE34" s="4">
        <f ca="1">(L34-M34)*(Z34+AA34)+($Z$43+$AA$43-$Z$34-$AA$34)*(L34)</f>
        <v>619.37412878440159</v>
      </c>
      <c r="AF34" s="3" t="s">
        <v>624</v>
      </c>
    </row>
    <row r="35" spans="1:32" ht="11.25" customHeight="1" x14ac:dyDescent="0.3">
      <c r="A35" s="3" t="s">
        <v>21</v>
      </c>
      <c r="B35" s="3" t="s">
        <v>22</v>
      </c>
      <c r="C35" s="3" t="s">
        <v>23</v>
      </c>
      <c r="D35" s="3" t="s">
        <v>24</v>
      </c>
      <c r="E35" s="3" t="s">
        <v>31</v>
      </c>
      <c r="F35" s="3" t="s">
        <v>25</v>
      </c>
      <c r="G35" s="3" t="s">
        <v>25</v>
      </c>
      <c r="H35" s="3" t="s">
        <v>25</v>
      </c>
      <c r="I35" s="6">
        <v>44593</v>
      </c>
      <c r="J35" s="4">
        <v>0</v>
      </c>
      <c r="K35" s="4">
        <v>0</v>
      </c>
      <c r="L35" s="4">
        <v>14.289</v>
      </c>
      <c r="M35" s="4">
        <v>14.289</v>
      </c>
      <c r="N35" s="4">
        <v>14.289</v>
      </c>
      <c r="O35" s="4">
        <v>14.289</v>
      </c>
      <c r="P35" s="4">
        <v>85</v>
      </c>
      <c r="Q35" s="3" t="s">
        <v>26</v>
      </c>
      <c r="R35" s="3">
        <v>0</v>
      </c>
      <c r="S35" s="3">
        <v>0</v>
      </c>
      <c r="T35" s="3">
        <v>21</v>
      </c>
      <c r="U35" s="3">
        <v>59</v>
      </c>
      <c r="V35" s="4">
        <f>IF(ISERROR(VLOOKUP($S$35,'TAR FIN'!$A$1:$O$88,15,0)),0,VLOOKUP($S$35,'TAR FIN'!$A$1:$O$88,15,0))</f>
        <v>0</v>
      </c>
      <c r="W35" s="4">
        <f>IF(ISERROR(VLOOKUP($T$35,'TAR FIN'!$A$1:$O$88,15,0)),0,VLOOKUP($T$35,'TAR FIN'!$A$1:$O$88,15,0))</f>
        <v>214.6</v>
      </c>
      <c r="X35" s="4">
        <f>IF(ISERROR(VLOOKUP($U$35,'TAR FIN'!$A$1:$O$88,15,0)),0,VLOOKUP($U$35,'TAR FIN'!$A$1:$O$88,15,0))</f>
        <v>218.11</v>
      </c>
      <c r="Y35" s="4"/>
      <c r="Z35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5" s="4">
        <f>('TE BE'!$AB$13+'TE BF'!$AB$13+'TE CVA'!$AB$13)*(1-CUSTOS!$M$36)</f>
        <v>171.9067626568409</v>
      </c>
      <c r="AB35" s="4">
        <f t="shared" si="4"/>
        <v>0</v>
      </c>
      <c r="AC35" s="4">
        <f>(L35-M35)*(W35+X35)+($W$43+$X$43-$W$35-$X$35)*(L35)</f>
        <v>687.15800999999885</v>
      </c>
      <c r="AD35" s="4">
        <f t="shared" si="5"/>
        <v>0</v>
      </c>
      <c r="AE35" s="4">
        <f ca="1">(L35-M35)*(Z35+AA35)+($Z$43+$AA$43-$Z$35-$AA$35)*(L35)</f>
        <v>768.6500717561504</v>
      </c>
      <c r="AF35" s="3" t="s">
        <v>624</v>
      </c>
    </row>
    <row r="36" spans="1:32" ht="11.25" customHeight="1" x14ac:dyDescent="0.3">
      <c r="A36" s="3" t="s">
        <v>21</v>
      </c>
      <c r="B36" s="3" t="s">
        <v>22</v>
      </c>
      <c r="C36" s="3" t="s">
        <v>23</v>
      </c>
      <c r="D36" s="3" t="s">
        <v>24</v>
      </c>
      <c r="E36" s="3" t="s">
        <v>31</v>
      </c>
      <c r="F36" s="3" t="s">
        <v>25</v>
      </c>
      <c r="G36" s="3" t="s">
        <v>25</v>
      </c>
      <c r="H36" s="3" t="s">
        <v>25</v>
      </c>
      <c r="I36" s="6">
        <v>44621</v>
      </c>
      <c r="J36" s="4">
        <v>0</v>
      </c>
      <c r="K36" s="4">
        <v>0</v>
      </c>
      <c r="L36" s="4">
        <v>14.22</v>
      </c>
      <c r="M36" s="4">
        <v>14.22</v>
      </c>
      <c r="N36" s="4">
        <v>14.22</v>
      </c>
      <c r="O36" s="4">
        <v>14.22</v>
      </c>
      <c r="P36" s="4">
        <v>118</v>
      </c>
      <c r="Q36" s="3" t="s">
        <v>26</v>
      </c>
      <c r="R36" s="3">
        <v>0</v>
      </c>
      <c r="S36" s="3">
        <v>0</v>
      </c>
      <c r="T36" s="3">
        <v>21</v>
      </c>
      <c r="U36" s="3">
        <v>59</v>
      </c>
      <c r="V36" s="4">
        <f>IF(ISERROR(VLOOKUP($S$36,'TAR FIN'!$A$1:$O$88,15,0)),0,VLOOKUP($S$36,'TAR FIN'!$A$1:$O$88,15,0))</f>
        <v>0</v>
      </c>
      <c r="W36" s="4">
        <f>IF(ISERROR(VLOOKUP($T$36,'TAR FIN'!$A$1:$O$88,15,0)),0,VLOOKUP($T$36,'TAR FIN'!$A$1:$O$88,15,0))</f>
        <v>214.6</v>
      </c>
      <c r="X36" s="4">
        <f>IF(ISERROR(VLOOKUP($U$36,'TAR FIN'!$A$1:$O$88,15,0)),0,VLOOKUP($U$36,'TAR FIN'!$A$1:$O$88,15,0))</f>
        <v>218.11</v>
      </c>
      <c r="Y36" s="4"/>
      <c r="Z36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6" s="4">
        <f>('TE BE'!$AB$13+'TE BF'!$AB$13+'TE CVA'!$AB$13)*(1-CUSTOS!$M$36)</f>
        <v>171.9067626568409</v>
      </c>
      <c r="AB36" s="4">
        <f t="shared" si="4"/>
        <v>0</v>
      </c>
      <c r="AC36" s="4">
        <f>(L36-M36)*(W36+X36)+($W$43+$X$43-$W$36-$X$36)*(L36)</f>
        <v>683.83979999999883</v>
      </c>
      <c r="AD36" s="4">
        <f t="shared" si="5"/>
        <v>0</v>
      </c>
      <c r="AE36" s="4">
        <f ca="1">(L36-M36)*(Z36+AA36)+($Z$43+$AA$43-$Z$36-$AA$36)*(L36)</f>
        <v>764.93834560658263</v>
      </c>
      <c r="AF36" s="3" t="s">
        <v>624</v>
      </c>
    </row>
    <row r="37" spans="1:32" ht="11.25" customHeight="1" x14ac:dyDescent="0.3">
      <c r="A37" s="3" t="s">
        <v>27</v>
      </c>
      <c r="B37" s="3" t="s">
        <v>22</v>
      </c>
      <c r="C37" s="3" t="s">
        <v>23</v>
      </c>
      <c r="D37" s="3" t="s">
        <v>24</v>
      </c>
      <c r="E37" s="3" t="s">
        <v>31</v>
      </c>
      <c r="F37" s="3" t="s">
        <v>25</v>
      </c>
      <c r="G37" s="3" t="s">
        <v>25</v>
      </c>
      <c r="H37" s="3" t="s">
        <v>25</v>
      </c>
      <c r="I37" s="6">
        <v>44621</v>
      </c>
      <c r="J37" s="4">
        <v>0</v>
      </c>
      <c r="K37" s="4">
        <v>0</v>
      </c>
      <c r="L37" s="4">
        <v>-0.14499999999999999</v>
      </c>
      <c r="M37" s="4">
        <v>-0.14499999999999999</v>
      </c>
      <c r="N37" s="4">
        <v>-0.14499999999999999</v>
      </c>
      <c r="O37" s="4">
        <v>-0.14499999999999999</v>
      </c>
      <c r="P37" s="4">
        <v>0</v>
      </c>
      <c r="Q37" s="3" t="s">
        <v>26</v>
      </c>
      <c r="R37" s="3">
        <v>0</v>
      </c>
      <c r="S37" s="3">
        <v>0</v>
      </c>
      <c r="T37" s="3">
        <v>21</v>
      </c>
      <c r="U37" s="3">
        <v>59</v>
      </c>
      <c r="V37" s="4">
        <f>IF(ISERROR(VLOOKUP($S$37,'TAR FIN'!$A$1:$O$88,15,0)),0,VLOOKUP($S$37,'TAR FIN'!$A$1:$O$88,15,0))</f>
        <v>0</v>
      </c>
      <c r="W37" s="4">
        <f>IF(ISERROR(VLOOKUP($T$37,'TAR FIN'!$A$1:$O$88,15,0)),0,VLOOKUP($T$37,'TAR FIN'!$A$1:$O$88,15,0))</f>
        <v>214.6</v>
      </c>
      <c r="X37" s="4">
        <f>IF(ISERROR(VLOOKUP($U$37,'TAR FIN'!$A$1:$O$88,15,0)),0,VLOOKUP($U$37,'TAR FIN'!$A$1:$O$88,15,0))</f>
        <v>218.11</v>
      </c>
      <c r="Y37" s="4"/>
      <c r="Z37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7" s="4">
        <f>('TE BE'!$AB$13+'TE BF'!$AB$13+'TE CVA'!$AB$13)*(1-CUSTOS!$M$36)</f>
        <v>171.9067626568409</v>
      </c>
      <c r="AB37" s="4">
        <f t="shared" si="4"/>
        <v>0</v>
      </c>
      <c r="AC37" s="4">
        <f>(L37-M37)*(W37+X37)+($W$43+$X$43-$W$37-$X$37)*(L37)</f>
        <v>-6.9730499999999873</v>
      </c>
      <c r="AD37" s="4">
        <f t="shared" si="5"/>
        <v>0</v>
      </c>
      <c r="AE37" s="4">
        <f ca="1">(L37-M37)*(Z37+AA37)+($Z$43+$AA$43-$Z$37-$AA$37)*(L37)</f>
        <v>-7.8000042273526349</v>
      </c>
      <c r="AF37" s="3" t="s">
        <v>624</v>
      </c>
    </row>
    <row r="38" spans="1:32" ht="11.25" customHeight="1" x14ac:dyDescent="0.3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31</v>
      </c>
      <c r="F38" s="3" t="s">
        <v>25</v>
      </c>
      <c r="G38" s="3" t="s">
        <v>25</v>
      </c>
      <c r="H38" s="3" t="s">
        <v>25</v>
      </c>
      <c r="I38" s="6">
        <v>44652</v>
      </c>
      <c r="J38" s="4">
        <v>0</v>
      </c>
      <c r="K38" s="4">
        <v>0</v>
      </c>
      <c r="L38" s="4">
        <v>14.488</v>
      </c>
      <c r="M38" s="4">
        <v>14.488</v>
      </c>
      <c r="N38" s="4">
        <v>14.488</v>
      </c>
      <c r="O38" s="4">
        <v>14.488</v>
      </c>
      <c r="P38" s="4">
        <v>134</v>
      </c>
      <c r="Q38" s="3" t="s">
        <v>26</v>
      </c>
      <c r="R38" s="3">
        <v>0</v>
      </c>
      <c r="S38" s="3">
        <v>0</v>
      </c>
      <c r="T38" s="3">
        <v>21</v>
      </c>
      <c r="U38" s="3">
        <v>59</v>
      </c>
      <c r="V38" s="4">
        <f>IF(ISERROR(VLOOKUP($S$38,'TAR FIN'!$A$1:$O$88,15,0)),0,VLOOKUP($S$38,'TAR FIN'!$A$1:$O$88,15,0))</f>
        <v>0</v>
      </c>
      <c r="W38" s="4">
        <f>IF(ISERROR(VLOOKUP($T$38,'TAR FIN'!$A$1:$O$88,15,0)),0,VLOOKUP($T$38,'TAR FIN'!$A$1:$O$88,15,0))</f>
        <v>214.6</v>
      </c>
      <c r="X38" s="4">
        <f>IF(ISERROR(VLOOKUP($U$38,'TAR FIN'!$A$1:$O$88,15,0)),0,VLOOKUP($U$38,'TAR FIN'!$A$1:$O$88,15,0))</f>
        <v>218.11</v>
      </c>
      <c r="Y38" s="4"/>
      <c r="Z38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8" s="4">
        <f>('TE BE'!$AB$13+'TE BF'!$AB$13+'TE CVA'!$AB$13)*(1-CUSTOS!$M$36)</f>
        <v>171.9067626568409</v>
      </c>
      <c r="AB38" s="4">
        <f t="shared" si="4"/>
        <v>0</v>
      </c>
      <c r="AC38" s="4">
        <f>(L38-M38)*(W38+X38)+($W$43+$X$43-$W$38-$X$38)*(L38)</f>
        <v>696.72791999999879</v>
      </c>
      <c r="AD38" s="4">
        <f t="shared" si="5"/>
        <v>0</v>
      </c>
      <c r="AE38" s="4">
        <f ca="1">(L38-M38)*(Z38+AA38)+($Z$43+$AA$43-$Z$38-$AA$38)*(L38)</f>
        <v>779.35490514403432</v>
      </c>
      <c r="AF38" s="3" t="s">
        <v>624</v>
      </c>
    </row>
    <row r="39" spans="1:32" ht="11.25" customHeight="1" x14ac:dyDescent="0.3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31</v>
      </c>
      <c r="F39" s="3" t="s">
        <v>25</v>
      </c>
      <c r="G39" s="3" t="s">
        <v>25</v>
      </c>
      <c r="H39" s="3" t="s">
        <v>25</v>
      </c>
      <c r="I39" s="6">
        <v>44682</v>
      </c>
      <c r="J39" s="4">
        <v>0</v>
      </c>
      <c r="K39" s="4">
        <v>0</v>
      </c>
      <c r="L39" s="4">
        <v>12.88</v>
      </c>
      <c r="M39" s="4">
        <v>12.88</v>
      </c>
      <c r="N39" s="4">
        <v>12.88</v>
      </c>
      <c r="O39" s="4">
        <v>12.88</v>
      </c>
      <c r="P39" s="4">
        <v>152</v>
      </c>
      <c r="Q39" s="3" t="s">
        <v>26</v>
      </c>
      <c r="R39" s="3">
        <v>0</v>
      </c>
      <c r="S39" s="3">
        <v>0</v>
      </c>
      <c r="T39" s="3">
        <v>21</v>
      </c>
      <c r="U39" s="3">
        <v>59</v>
      </c>
      <c r="V39" s="4">
        <f>IF(ISERROR(VLOOKUP($S$39,'TAR FIN'!$A$1:$O$88,15,0)),0,VLOOKUP($S$39,'TAR FIN'!$A$1:$O$88,15,0))</f>
        <v>0</v>
      </c>
      <c r="W39" s="4">
        <f>IF(ISERROR(VLOOKUP($T$39,'TAR FIN'!$A$1:$O$88,15,0)),0,VLOOKUP($T$39,'TAR FIN'!$A$1:$O$88,15,0))</f>
        <v>214.6</v>
      </c>
      <c r="X39" s="4">
        <f>IF(ISERROR(VLOOKUP($U$39,'TAR FIN'!$A$1:$O$88,15,0)),0,VLOOKUP($U$39,'TAR FIN'!$A$1:$O$88,15,0))</f>
        <v>218.11</v>
      </c>
      <c r="Y39" s="4"/>
      <c r="Z39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39" s="4">
        <f>('TE BE'!$AB$13+'TE BF'!$AB$13+'TE CVA'!$AB$13)*(1-CUSTOS!$M$36)</f>
        <v>171.9067626568409</v>
      </c>
      <c r="AB39" s="4">
        <f t="shared" si="4"/>
        <v>0</v>
      </c>
      <c r="AC39" s="4">
        <f>(L39-M39)*(W39+X39)+($W$43+$X$43-$W$39-$X$39)*(L39)</f>
        <v>619.39919999999893</v>
      </c>
      <c r="AD39" s="4">
        <f t="shared" si="5"/>
        <v>0</v>
      </c>
      <c r="AE39" s="4">
        <f ca="1">(L39-M39)*(Z39+AA39)+($Z$43+$AA$43-$Z$39-$AA$39)*(L39)</f>
        <v>692.85554791932373</v>
      </c>
      <c r="AF39" s="3" t="s">
        <v>624</v>
      </c>
    </row>
    <row r="40" spans="1:32" ht="11.25" customHeight="1" x14ac:dyDescent="0.3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31</v>
      </c>
      <c r="F40" s="3" t="s">
        <v>25</v>
      </c>
      <c r="G40" s="3" t="s">
        <v>25</v>
      </c>
      <c r="H40" s="3" t="s">
        <v>25</v>
      </c>
      <c r="I40" s="6">
        <v>44713</v>
      </c>
      <c r="J40" s="4">
        <v>0</v>
      </c>
      <c r="K40" s="4">
        <v>0</v>
      </c>
      <c r="L40" s="4">
        <v>14.611000000000001</v>
      </c>
      <c r="M40" s="4">
        <v>14.611000000000001</v>
      </c>
      <c r="N40" s="4">
        <v>14.611000000000001</v>
      </c>
      <c r="O40" s="4">
        <v>14.611000000000001</v>
      </c>
      <c r="P40" s="4">
        <v>123</v>
      </c>
      <c r="Q40" s="3" t="s">
        <v>26</v>
      </c>
      <c r="R40" s="3">
        <v>0</v>
      </c>
      <c r="S40" s="3">
        <v>0</v>
      </c>
      <c r="T40" s="3">
        <v>21</v>
      </c>
      <c r="U40" s="3">
        <v>59</v>
      </c>
      <c r="V40" s="4">
        <f>IF(ISERROR(VLOOKUP($S$40,'TAR FIN'!$A$1:$O$88,15,0)),0,VLOOKUP($S$40,'TAR FIN'!$A$1:$O$88,15,0))</f>
        <v>0</v>
      </c>
      <c r="W40" s="4">
        <f>IF(ISERROR(VLOOKUP($T$40,'TAR FIN'!$A$1:$O$88,15,0)),0,VLOOKUP($T$40,'TAR FIN'!$A$1:$O$88,15,0))</f>
        <v>214.6</v>
      </c>
      <c r="X40" s="4">
        <f>IF(ISERROR(VLOOKUP($U$40,'TAR FIN'!$A$1:$O$88,15,0)),0,VLOOKUP($U$40,'TAR FIN'!$A$1:$O$88,15,0))</f>
        <v>218.11</v>
      </c>
      <c r="Y40" s="4"/>
      <c r="Z40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40" s="4">
        <f>('TE BE'!$AB$13+'TE BF'!$AB$13+'TE CVA'!$AB$13)*(1-CUSTOS!$M$36)</f>
        <v>171.9067626568409</v>
      </c>
      <c r="AB40" s="4">
        <f t="shared" si="4"/>
        <v>0</v>
      </c>
      <c r="AC40" s="4">
        <f>(L40-M40)*(W40+X40)+($W$43+$X$43-$W$40-$X$40)*(L40)</f>
        <v>702.6429899999988</v>
      </c>
      <c r="AD40" s="4">
        <f t="shared" si="5"/>
        <v>0</v>
      </c>
      <c r="AE40" s="4">
        <f ca="1">(L40-M40)*(Z40+AA40)+($Z$43+$AA$43-$Z$40-$AA$40)*(L40)</f>
        <v>785.97146045413353</v>
      </c>
      <c r="AF40" s="3" t="s">
        <v>624</v>
      </c>
    </row>
    <row r="41" spans="1:32" ht="11.25" customHeight="1" x14ac:dyDescent="0.3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31</v>
      </c>
      <c r="F41" s="3" t="s">
        <v>25</v>
      </c>
      <c r="G41" s="3" t="s">
        <v>25</v>
      </c>
      <c r="H41" s="3" t="s">
        <v>25</v>
      </c>
      <c r="I41" s="6">
        <v>44743</v>
      </c>
      <c r="J41" s="4">
        <v>0</v>
      </c>
      <c r="K41" s="4">
        <v>0</v>
      </c>
      <c r="L41" s="4">
        <v>14.917</v>
      </c>
      <c r="M41" s="4">
        <v>14.917</v>
      </c>
      <c r="N41" s="4">
        <v>14.917</v>
      </c>
      <c r="O41" s="4">
        <v>14.917</v>
      </c>
      <c r="P41" s="4">
        <v>124</v>
      </c>
      <c r="Q41" s="3" t="s">
        <v>26</v>
      </c>
      <c r="R41" s="3">
        <v>0</v>
      </c>
      <c r="S41" s="3">
        <v>0</v>
      </c>
      <c r="T41" s="3">
        <v>21</v>
      </c>
      <c r="U41" s="3">
        <v>59</v>
      </c>
      <c r="V41" s="4">
        <f>IF(ISERROR(VLOOKUP($S$41,'TAR FIN'!$A$1:$O$88,15,0)),0,VLOOKUP($S$41,'TAR FIN'!$A$1:$O$88,15,0))</f>
        <v>0</v>
      </c>
      <c r="W41" s="4">
        <f>IF(ISERROR(VLOOKUP($T$41,'TAR FIN'!$A$1:$O$88,15,0)),0,VLOOKUP($T$41,'TAR FIN'!$A$1:$O$88,15,0))</f>
        <v>214.6</v>
      </c>
      <c r="X41" s="4">
        <f>IF(ISERROR(VLOOKUP($U$41,'TAR FIN'!$A$1:$O$88,15,0)),0,VLOOKUP($U$41,'TAR FIN'!$A$1:$O$88,15,0))</f>
        <v>218.11</v>
      </c>
      <c r="Y41" s="4"/>
      <c r="Z41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41" s="4">
        <f>('TE BE'!$AB$13+'TE BF'!$AB$13+'TE CVA'!$AB$13)*(1-CUSTOS!$M$36)</f>
        <v>171.9067626568409</v>
      </c>
      <c r="AB41" s="4">
        <f t="shared" si="4"/>
        <v>0</v>
      </c>
      <c r="AC41" s="4">
        <f>(L41-M41)*(W41+X41)+($W$43+$X$43-$W$41-$X$41)*(L41)</f>
        <v>717.35852999999872</v>
      </c>
      <c r="AD41" s="4">
        <f t="shared" si="5"/>
        <v>0</v>
      </c>
      <c r="AE41" s="4">
        <f ca="1">(L41-M41)*(Z41+AA41)+($Z$43+$AA$43-$Z$41-$AA$41)*(L41)</f>
        <v>802.43215903047769</v>
      </c>
      <c r="AF41" s="3" t="s">
        <v>624</v>
      </c>
    </row>
    <row r="42" spans="1:32" ht="11.25" customHeight="1" x14ac:dyDescent="0.3">
      <c r="A42" s="3" t="s">
        <v>55</v>
      </c>
      <c r="B42" s="3" t="s">
        <v>22</v>
      </c>
      <c r="C42" s="3" t="s">
        <v>23</v>
      </c>
      <c r="D42" s="3" t="s">
        <v>24</v>
      </c>
      <c r="E42" s="3" t="s">
        <v>31</v>
      </c>
      <c r="F42" s="3" t="s">
        <v>25</v>
      </c>
      <c r="G42" s="3" t="s">
        <v>25</v>
      </c>
      <c r="H42" s="3" t="s">
        <v>25</v>
      </c>
      <c r="I42" s="6">
        <v>44774</v>
      </c>
      <c r="J42" s="4">
        <v>0</v>
      </c>
      <c r="K42" s="4">
        <v>0</v>
      </c>
      <c r="L42" s="4">
        <v>14.917</v>
      </c>
      <c r="M42" s="4">
        <v>14.917</v>
      </c>
      <c r="N42" s="4">
        <v>14.917</v>
      </c>
      <c r="O42" s="4">
        <v>14.917</v>
      </c>
      <c r="P42" s="4">
        <v>124</v>
      </c>
      <c r="Q42" s="3" t="s">
        <v>26</v>
      </c>
      <c r="R42" s="3">
        <v>0</v>
      </c>
      <c r="S42" s="3">
        <v>0</v>
      </c>
      <c r="T42" s="3">
        <v>21</v>
      </c>
      <c r="U42" s="3">
        <v>59</v>
      </c>
      <c r="V42" s="4">
        <f>IF(ISERROR(VLOOKUP($S$42,'TAR FIN'!$A$1:$O$88,15,0)),0,VLOOKUP($S$42,'TAR FIN'!$A$1:$O$88,15,0))</f>
        <v>0</v>
      </c>
      <c r="W42" s="4">
        <f>IF(ISERROR(VLOOKUP($T$42,'TAR FIN'!$A$1:$O$88,15,0)),0,VLOOKUP($T$42,'TAR FIN'!$A$1:$O$88,15,0))</f>
        <v>214.6</v>
      </c>
      <c r="X42" s="4">
        <f>IF(ISERROR(VLOOKUP($U$42,'TAR FIN'!$A$1:$O$88,15,0)),0,VLOOKUP($U$42,'TAR FIN'!$A$1:$O$88,15,0))</f>
        <v>218.11</v>
      </c>
      <c r="Y42" s="4"/>
      <c r="Z42" s="4">
        <f ca="1">('TUSD BE'!$AM$23+'TUSD BF'!$AM$23+'TUSD CVA'!$AM$23-('TUSD BE'!$P$23+'TUSD BF'!$P$23+'TUSD CVA'!$P$23)-('TUSD BE'!$Q$23+'TUSD BF'!$Q$23+'TUSD CVA'!$Q$23)-('TUSD BE'!$R$23+'TUSD BF'!$R$23+'TUSD CVA'!$R$23))*(1-CUSTOS!$M$36)</f>
        <v>312.23143076504704</v>
      </c>
      <c r="AA42" s="4">
        <f>('TE BE'!$AB$13+'TE BF'!$AB$13+'TE CVA'!$AB$13)*(1-CUSTOS!$M$36)</f>
        <v>171.9067626568409</v>
      </c>
      <c r="AB42" s="4">
        <f t="shared" si="4"/>
        <v>0</v>
      </c>
      <c r="AC42" s="4">
        <f>(L42-M42)*(W42+X42)+($W$43+$X$43-$W$42-$X$42)*(L42)</f>
        <v>717.35852999999872</v>
      </c>
      <c r="AD42" s="4">
        <f t="shared" si="5"/>
        <v>0</v>
      </c>
      <c r="AE42" s="4">
        <f ca="1">(L42-M42)*(Z42+AA42)+($Z$43+$AA$43-$Z$42-$AA$42)*(L42)</f>
        <v>802.43215903047769</v>
      </c>
      <c r="AF42" s="3" t="s">
        <v>624</v>
      </c>
    </row>
    <row r="43" spans="1:32" ht="11.25" customHeight="1" x14ac:dyDescent="0.3">
      <c r="A43" s="3" t="s">
        <v>21</v>
      </c>
      <c r="B43" s="3" t="s">
        <v>22</v>
      </c>
      <c r="C43" s="3" t="s">
        <v>23</v>
      </c>
      <c r="D43" s="3" t="s">
        <v>24</v>
      </c>
      <c r="E43" s="3" t="s">
        <v>32</v>
      </c>
      <c r="F43" s="3" t="s">
        <v>25</v>
      </c>
      <c r="G43" s="3" t="s">
        <v>25</v>
      </c>
      <c r="H43" s="3" t="s">
        <v>25</v>
      </c>
      <c r="I43" s="6">
        <v>44440</v>
      </c>
      <c r="J43" s="4">
        <v>0</v>
      </c>
      <c r="K43" s="4">
        <v>0</v>
      </c>
      <c r="L43" s="4">
        <v>1.9179999999999999</v>
      </c>
      <c r="M43" s="4">
        <v>1.9179999999999999</v>
      </c>
      <c r="N43" s="4">
        <v>1.9179999999999999</v>
      </c>
      <c r="O43" s="4">
        <v>1.9179999999999999</v>
      </c>
      <c r="P43" s="4">
        <v>30</v>
      </c>
      <c r="Q43" s="3" t="s">
        <v>26</v>
      </c>
      <c r="R43" s="3">
        <v>0</v>
      </c>
      <c r="S43" s="3">
        <v>0</v>
      </c>
      <c r="T43" s="3">
        <v>22</v>
      </c>
      <c r="U43" s="3">
        <v>60</v>
      </c>
      <c r="V43" s="4">
        <f>IF(ISERROR(VLOOKUP($S$43,'TAR FIN'!$A$1:$O$88,15,0)),0,VLOOKUP($S$43,'TAR FIN'!$A$1:$O$88,15,0))</f>
        <v>0</v>
      </c>
      <c r="W43" s="4">
        <f>IF(ISERROR(VLOOKUP($T$43,'TAR FIN'!$A$1:$O$88,15,0)),0,VLOOKUP($T$43,'TAR FIN'!$A$1:$O$88,15,0))</f>
        <v>238.45</v>
      </c>
      <c r="X43" s="4">
        <f>IF(ISERROR(VLOOKUP($U$43,'TAR FIN'!$A$1:$O$88,15,0)),0,VLOOKUP($U$43,'TAR FIN'!$A$1:$O$88,15,0))</f>
        <v>242.35</v>
      </c>
      <c r="Y43" s="4"/>
      <c r="Z43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43" s="4">
        <f>('TE BE'!$AB$14+'TE BF'!$AB$14+'TE CVA'!$AB$14)*(1-CUSTOS!$M$37)</f>
        <v>191.00751406315655</v>
      </c>
      <c r="AB43" s="4">
        <f t="shared" si="4"/>
        <v>0</v>
      </c>
      <c r="AC43" s="4">
        <f>(L43-M43)*(W43+X43)+($W$43+$X$43-$W$43-$X$43)*(L43)</f>
        <v>-5.4512838687514884E-14</v>
      </c>
      <c r="AD43" s="4">
        <f t="shared" si="5"/>
        <v>0</v>
      </c>
      <c r="AE43" s="4">
        <f ca="1">(L43-M43)*(Z43+AA43)+($Z$43+$AA$43-$Z$43-$AA$43)*(L43)</f>
        <v>-5.4512838687514884E-14</v>
      </c>
      <c r="AF43" s="3" t="s">
        <v>624</v>
      </c>
    </row>
    <row r="44" spans="1:32" ht="11.25" customHeight="1" x14ac:dyDescent="0.3">
      <c r="A44" s="3" t="s">
        <v>27</v>
      </c>
      <c r="B44" s="3" t="s">
        <v>22</v>
      </c>
      <c r="C44" s="3" t="s">
        <v>23</v>
      </c>
      <c r="D44" s="3" t="s">
        <v>24</v>
      </c>
      <c r="E44" s="3" t="s">
        <v>32</v>
      </c>
      <c r="F44" s="3" t="s">
        <v>25</v>
      </c>
      <c r="G44" s="3" t="s">
        <v>25</v>
      </c>
      <c r="H44" s="3" t="s">
        <v>25</v>
      </c>
      <c r="I44" s="6">
        <v>44440</v>
      </c>
      <c r="J44" s="4">
        <v>0</v>
      </c>
      <c r="K44" s="4">
        <v>0</v>
      </c>
      <c r="L44" s="4">
        <v>-8.9999999999999993E-3</v>
      </c>
      <c r="M44" s="4">
        <v>-8.9999999999999993E-3</v>
      </c>
      <c r="N44" s="4">
        <v>-8.9999999999999993E-3</v>
      </c>
      <c r="O44" s="4">
        <v>-8.9999999999999993E-3</v>
      </c>
      <c r="P44" s="4">
        <v>0</v>
      </c>
      <c r="Q44" s="3" t="s">
        <v>26</v>
      </c>
      <c r="R44" s="3">
        <v>0</v>
      </c>
      <c r="S44" s="3">
        <v>0</v>
      </c>
      <c r="T44" s="3">
        <v>22</v>
      </c>
      <c r="U44" s="3">
        <v>60</v>
      </c>
      <c r="V44" s="4">
        <f>IF(ISERROR(VLOOKUP($S$44,'TAR FIN'!$A$1:$O$88,15,0)),0,VLOOKUP($S$44,'TAR FIN'!$A$1:$O$88,15,0))</f>
        <v>0</v>
      </c>
      <c r="W44" s="4">
        <f>IF(ISERROR(VLOOKUP($T$44,'TAR FIN'!$A$1:$O$88,15,0)),0,VLOOKUP($T$44,'TAR FIN'!$A$1:$O$88,15,0))</f>
        <v>238.45</v>
      </c>
      <c r="X44" s="4">
        <f>IF(ISERROR(VLOOKUP($U$44,'TAR FIN'!$A$1:$O$88,15,0)),0,VLOOKUP($U$44,'TAR FIN'!$A$1:$O$88,15,0))</f>
        <v>242.35</v>
      </c>
      <c r="Y44" s="4"/>
      <c r="Z44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44" s="4">
        <f>('TE BE'!$AB$14+'TE BF'!$AB$14+'TE CVA'!$AB$14)*(1-CUSTOS!$M$37)</f>
        <v>191.00751406315655</v>
      </c>
      <c r="AB44" s="4">
        <f t="shared" si="4"/>
        <v>0</v>
      </c>
      <c r="AC44" s="4">
        <f>(L44-M44)*(W44+X44)+($W$43+$X$43-$W$44-$X$44)*(L44)</f>
        <v>2.5579538487363605E-16</v>
      </c>
      <c r="AD44" s="4">
        <f t="shared" si="5"/>
        <v>0</v>
      </c>
      <c r="AE44" s="4">
        <f ca="1">(L44-M44)*(Z44+AA44)+($Z$43+$AA$43-$Z$44-$AA$44)*(L44)</f>
        <v>2.5579538487363605E-16</v>
      </c>
      <c r="AF44" s="3" t="s">
        <v>624</v>
      </c>
    </row>
    <row r="45" spans="1:32" ht="11.25" customHeight="1" x14ac:dyDescent="0.3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32</v>
      </c>
      <c r="F45" s="3" t="s">
        <v>25</v>
      </c>
      <c r="G45" s="3" t="s">
        <v>25</v>
      </c>
      <c r="H45" s="3" t="s">
        <v>25</v>
      </c>
      <c r="I45" s="6">
        <v>44470</v>
      </c>
      <c r="J45" s="4">
        <v>0</v>
      </c>
      <c r="K45" s="4">
        <v>0</v>
      </c>
      <c r="L45" s="4">
        <v>3.2509999999999999</v>
      </c>
      <c r="M45" s="4">
        <v>3.2509999999999999</v>
      </c>
      <c r="N45" s="4">
        <v>3.2509999999999999</v>
      </c>
      <c r="O45" s="4">
        <v>3.2509999999999999</v>
      </c>
      <c r="P45" s="4">
        <v>39</v>
      </c>
      <c r="Q45" s="3" t="s">
        <v>26</v>
      </c>
      <c r="R45" s="3">
        <v>0</v>
      </c>
      <c r="S45" s="3">
        <v>0</v>
      </c>
      <c r="T45" s="3">
        <v>22</v>
      </c>
      <c r="U45" s="3">
        <v>60</v>
      </c>
      <c r="V45" s="4">
        <f>IF(ISERROR(VLOOKUP($S$45,'TAR FIN'!$A$1:$O$88,15,0)),0,VLOOKUP($S$45,'TAR FIN'!$A$1:$O$88,15,0))</f>
        <v>0</v>
      </c>
      <c r="W45" s="4">
        <f>IF(ISERROR(VLOOKUP($T$45,'TAR FIN'!$A$1:$O$88,15,0)),0,VLOOKUP($T$45,'TAR FIN'!$A$1:$O$88,15,0))</f>
        <v>238.45</v>
      </c>
      <c r="X45" s="4">
        <f>IF(ISERROR(VLOOKUP($U$45,'TAR FIN'!$A$1:$O$88,15,0)),0,VLOOKUP($U$45,'TAR FIN'!$A$1:$O$88,15,0))</f>
        <v>242.35</v>
      </c>
      <c r="Y45" s="4"/>
      <c r="Z45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45" s="4">
        <f>('TE BE'!$AB$14+'TE BF'!$AB$14+'TE CVA'!$AB$14)*(1-CUSTOS!$M$37)</f>
        <v>191.00751406315655</v>
      </c>
      <c r="AB45" s="4">
        <f t="shared" si="4"/>
        <v>0</v>
      </c>
      <c r="AC45" s="4">
        <f>(L45-M45)*(W45+X45)+($W$43+$X$43-$W$45-$X$45)*(L45)</f>
        <v>-9.2398977358243425E-14</v>
      </c>
      <c r="AD45" s="4">
        <f t="shared" si="5"/>
        <v>0</v>
      </c>
      <c r="AE45" s="4">
        <f ca="1">(L45-M45)*(Z45+AA45)+($Z$43+$AA$43-$Z$45-$AA$45)*(L45)</f>
        <v>-9.2398977358243425E-14</v>
      </c>
      <c r="AF45" s="3" t="s">
        <v>624</v>
      </c>
    </row>
    <row r="46" spans="1:32" ht="11.25" customHeight="1" x14ac:dyDescent="0.3">
      <c r="A46" s="3" t="s">
        <v>21</v>
      </c>
      <c r="B46" s="3" t="s">
        <v>22</v>
      </c>
      <c r="C46" s="3" t="s">
        <v>23</v>
      </c>
      <c r="D46" s="3" t="s">
        <v>24</v>
      </c>
      <c r="E46" s="3" t="s">
        <v>32</v>
      </c>
      <c r="F46" s="3" t="s">
        <v>25</v>
      </c>
      <c r="G46" s="3" t="s">
        <v>25</v>
      </c>
      <c r="H46" s="3" t="s">
        <v>25</v>
      </c>
      <c r="I46" s="6">
        <v>44501</v>
      </c>
      <c r="J46" s="4">
        <v>0</v>
      </c>
      <c r="K46" s="4">
        <v>0</v>
      </c>
      <c r="L46" s="4">
        <v>2.9319999999999999</v>
      </c>
      <c r="M46" s="4">
        <v>2.9319999999999999</v>
      </c>
      <c r="N46" s="4">
        <v>2.9319999999999999</v>
      </c>
      <c r="O46" s="4">
        <v>2.9319999999999999</v>
      </c>
      <c r="P46" s="4">
        <v>36</v>
      </c>
      <c r="Q46" s="3" t="s">
        <v>26</v>
      </c>
      <c r="R46" s="3">
        <v>0</v>
      </c>
      <c r="S46" s="3">
        <v>0</v>
      </c>
      <c r="T46" s="3">
        <v>22</v>
      </c>
      <c r="U46" s="3">
        <v>60</v>
      </c>
      <c r="V46" s="4">
        <f>IF(ISERROR(VLOOKUP($S$46,'TAR FIN'!$A$1:$O$88,15,0)),0,VLOOKUP($S$46,'TAR FIN'!$A$1:$O$88,15,0))</f>
        <v>0</v>
      </c>
      <c r="W46" s="4">
        <f>IF(ISERROR(VLOOKUP($T$46,'TAR FIN'!$A$1:$O$88,15,0)),0,VLOOKUP($T$46,'TAR FIN'!$A$1:$O$88,15,0))</f>
        <v>238.45</v>
      </c>
      <c r="X46" s="4">
        <f>IF(ISERROR(VLOOKUP($U$46,'TAR FIN'!$A$1:$O$88,15,0)),0,VLOOKUP($U$46,'TAR FIN'!$A$1:$O$88,15,0))</f>
        <v>242.35</v>
      </c>
      <c r="Y46" s="4"/>
      <c r="Z46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46" s="4">
        <f>('TE BE'!$AB$14+'TE BF'!$AB$14+'TE CVA'!$AB$14)*(1-CUSTOS!$M$37)</f>
        <v>191.00751406315655</v>
      </c>
      <c r="AB46" s="4">
        <f t="shared" si="4"/>
        <v>0</v>
      </c>
      <c r="AC46" s="4">
        <f>(L46-M46)*(W46+X46)+($W$43+$X$43-$W$46-$X$46)*(L46)</f>
        <v>-8.3332452049944548E-14</v>
      </c>
      <c r="AD46" s="4">
        <f t="shared" si="5"/>
        <v>0</v>
      </c>
      <c r="AE46" s="4">
        <f ca="1">(L46-M46)*(Z46+AA46)+($Z$43+$AA$43-$Z$46-$AA$46)*(L46)</f>
        <v>-8.3332452049944548E-14</v>
      </c>
      <c r="AF46" s="3" t="s">
        <v>624</v>
      </c>
    </row>
    <row r="47" spans="1:32" ht="11.25" customHeight="1" x14ac:dyDescent="0.3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32</v>
      </c>
      <c r="F47" s="3" t="s">
        <v>25</v>
      </c>
      <c r="G47" s="3" t="s">
        <v>25</v>
      </c>
      <c r="H47" s="3" t="s">
        <v>25</v>
      </c>
      <c r="I47" s="6">
        <v>44531</v>
      </c>
      <c r="J47" s="4">
        <v>0</v>
      </c>
      <c r="K47" s="4">
        <v>0</v>
      </c>
      <c r="L47" s="4">
        <v>2.6139999999999999</v>
      </c>
      <c r="M47" s="4">
        <v>2.6139999999999999</v>
      </c>
      <c r="N47" s="4">
        <v>2.6139999999999999</v>
      </c>
      <c r="O47" s="4">
        <v>2.6139999999999999</v>
      </c>
      <c r="P47" s="4">
        <v>34</v>
      </c>
      <c r="Q47" s="3" t="s">
        <v>26</v>
      </c>
      <c r="R47" s="3">
        <v>0</v>
      </c>
      <c r="S47" s="3">
        <v>0</v>
      </c>
      <c r="T47" s="3">
        <v>22</v>
      </c>
      <c r="U47" s="3">
        <v>60</v>
      </c>
      <c r="V47" s="4">
        <f>IF(ISERROR(VLOOKUP($S$47,'TAR FIN'!$A$1:$O$88,15,0)),0,VLOOKUP($S$47,'TAR FIN'!$A$1:$O$88,15,0))</f>
        <v>0</v>
      </c>
      <c r="W47" s="4">
        <f>IF(ISERROR(VLOOKUP($T$47,'TAR FIN'!$A$1:$O$88,15,0)),0,VLOOKUP($T$47,'TAR FIN'!$A$1:$O$88,15,0))</f>
        <v>238.45</v>
      </c>
      <c r="X47" s="4">
        <f>IF(ISERROR(VLOOKUP($U$47,'TAR FIN'!$A$1:$O$88,15,0)),0,VLOOKUP($U$47,'TAR FIN'!$A$1:$O$88,15,0))</f>
        <v>242.35</v>
      </c>
      <c r="Y47" s="4"/>
      <c r="Z47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47" s="4">
        <f>('TE BE'!$AB$14+'TE BF'!$AB$14+'TE CVA'!$AB$14)*(1-CUSTOS!$M$37)</f>
        <v>191.00751406315655</v>
      </c>
      <c r="AB47" s="4">
        <f t="shared" si="4"/>
        <v>0</v>
      </c>
      <c r="AC47" s="4">
        <f>(L47-M47)*(W47+X47)+($W$43+$X$43-$W$47-$X$47)*(L47)</f>
        <v>-7.4294348451076072E-14</v>
      </c>
      <c r="AD47" s="4">
        <f t="shared" si="5"/>
        <v>0</v>
      </c>
      <c r="AE47" s="4">
        <f ca="1">(L47-M47)*(Z47+AA47)+($Z$43+$AA$43-$Z$47-$AA$47)*(L47)</f>
        <v>-7.4294348451076072E-14</v>
      </c>
      <c r="AF47" s="3" t="s">
        <v>624</v>
      </c>
    </row>
    <row r="48" spans="1:32" ht="11.25" customHeight="1" x14ac:dyDescent="0.3">
      <c r="A48" s="3" t="s">
        <v>21</v>
      </c>
      <c r="B48" s="3" t="s">
        <v>22</v>
      </c>
      <c r="C48" s="3" t="s">
        <v>23</v>
      </c>
      <c r="D48" s="3" t="s">
        <v>24</v>
      </c>
      <c r="E48" s="3" t="s">
        <v>32</v>
      </c>
      <c r="F48" s="3" t="s">
        <v>25</v>
      </c>
      <c r="G48" s="3" t="s">
        <v>25</v>
      </c>
      <c r="H48" s="3" t="s">
        <v>25</v>
      </c>
      <c r="I48" s="6">
        <v>44562</v>
      </c>
      <c r="J48" s="4">
        <v>0</v>
      </c>
      <c r="K48" s="4">
        <v>0</v>
      </c>
      <c r="L48" s="4">
        <v>4.2629999999999999</v>
      </c>
      <c r="M48" s="4">
        <v>4.2629999999999999</v>
      </c>
      <c r="N48" s="4">
        <v>4.2629999999999999</v>
      </c>
      <c r="O48" s="4">
        <v>4.2629999999999999</v>
      </c>
      <c r="P48" s="4">
        <v>53</v>
      </c>
      <c r="Q48" s="3" t="s">
        <v>26</v>
      </c>
      <c r="R48" s="3">
        <v>0</v>
      </c>
      <c r="S48" s="3">
        <v>0</v>
      </c>
      <c r="T48" s="3">
        <v>22</v>
      </c>
      <c r="U48" s="3">
        <v>60</v>
      </c>
      <c r="V48" s="4">
        <f>IF(ISERROR(VLOOKUP($S$48,'TAR FIN'!$A$1:$O$88,15,0)),0,VLOOKUP($S$48,'TAR FIN'!$A$1:$O$88,15,0))</f>
        <v>0</v>
      </c>
      <c r="W48" s="4">
        <f>IF(ISERROR(VLOOKUP($T$48,'TAR FIN'!$A$1:$O$88,15,0)),0,VLOOKUP($T$48,'TAR FIN'!$A$1:$O$88,15,0))</f>
        <v>238.45</v>
      </c>
      <c r="X48" s="4">
        <f>IF(ISERROR(VLOOKUP($U$48,'TAR FIN'!$A$1:$O$88,15,0)),0,VLOOKUP($U$48,'TAR FIN'!$A$1:$O$88,15,0))</f>
        <v>242.35</v>
      </c>
      <c r="Y48" s="4"/>
      <c r="Z48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48" s="4">
        <f>('TE BE'!$AB$14+'TE BF'!$AB$14+'TE CVA'!$AB$14)*(1-CUSTOS!$M$37)</f>
        <v>191.00751406315655</v>
      </c>
      <c r="AB48" s="4">
        <f t="shared" si="4"/>
        <v>0</v>
      </c>
      <c r="AC48" s="4">
        <f>(L48-M48)*(W48+X48)+($W$43+$X$43-$W$48-$X$48)*(L48)</f>
        <v>-1.2116174730181228E-13</v>
      </c>
      <c r="AD48" s="4">
        <f t="shared" si="5"/>
        <v>0</v>
      </c>
      <c r="AE48" s="4">
        <f ca="1">(L48-M48)*(Z48+AA48)+($Z$43+$AA$43-$Z$48-$AA$48)*(L48)</f>
        <v>-1.2116174730181228E-13</v>
      </c>
      <c r="AF48" s="3" t="s">
        <v>624</v>
      </c>
    </row>
    <row r="49" spans="1:32" ht="11.25" customHeight="1" x14ac:dyDescent="0.3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32</v>
      </c>
      <c r="F49" s="3" t="s">
        <v>25</v>
      </c>
      <c r="G49" s="3" t="s">
        <v>25</v>
      </c>
      <c r="H49" s="3" t="s">
        <v>25</v>
      </c>
      <c r="I49" s="6">
        <v>44593</v>
      </c>
      <c r="J49" s="4">
        <v>0</v>
      </c>
      <c r="K49" s="4">
        <v>0</v>
      </c>
      <c r="L49" s="4">
        <v>9.2530000000000001</v>
      </c>
      <c r="M49" s="4">
        <v>9.2530000000000001</v>
      </c>
      <c r="N49" s="4">
        <v>9.2530000000000001</v>
      </c>
      <c r="O49" s="4">
        <v>9.2530000000000001</v>
      </c>
      <c r="P49" s="4">
        <v>76</v>
      </c>
      <c r="Q49" s="3" t="s">
        <v>26</v>
      </c>
      <c r="R49" s="3">
        <v>0</v>
      </c>
      <c r="S49" s="3">
        <v>0</v>
      </c>
      <c r="T49" s="3">
        <v>22</v>
      </c>
      <c r="U49" s="3">
        <v>60</v>
      </c>
      <c r="V49" s="4">
        <f>IF(ISERROR(VLOOKUP($S$49,'TAR FIN'!$A$1:$O$88,15,0)),0,VLOOKUP($S$49,'TAR FIN'!$A$1:$O$88,15,0))</f>
        <v>0</v>
      </c>
      <c r="W49" s="4">
        <f>IF(ISERROR(VLOOKUP($T$49,'TAR FIN'!$A$1:$O$88,15,0)),0,VLOOKUP($T$49,'TAR FIN'!$A$1:$O$88,15,0))</f>
        <v>238.45</v>
      </c>
      <c r="X49" s="4">
        <f>IF(ISERROR(VLOOKUP($U$49,'TAR FIN'!$A$1:$O$88,15,0)),0,VLOOKUP($U$49,'TAR FIN'!$A$1:$O$88,15,0))</f>
        <v>242.35</v>
      </c>
      <c r="Y49" s="4"/>
      <c r="Z49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49" s="4">
        <f>('TE BE'!$AB$14+'TE BF'!$AB$14+'TE CVA'!$AB$14)*(1-CUSTOS!$M$37)</f>
        <v>191.00751406315655</v>
      </c>
      <c r="AB49" s="4">
        <f t="shared" si="4"/>
        <v>0</v>
      </c>
      <c r="AC49" s="4">
        <f>(L49-M49)*(W49+X49)+($W$43+$X$43-$W$49-$X$49)*(L49)</f>
        <v>-2.6298607735952828E-13</v>
      </c>
      <c r="AD49" s="4">
        <f t="shared" si="5"/>
        <v>0</v>
      </c>
      <c r="AE49" s="4">
        <f ca="1">(L49-M49)*(Z49+AA49)+($Z$43+$AA$43-$Z$49-$AA$49)*(L49)</f>
        <v>-2.6298607735952828E-13</v>
      </c>
      <c r="AF49" s="3" t="s">
        <v>624</v>
      </c>
    </row>
    <row r="50" spans="1:32" ht="11.25" customHeight="1" x14ac:dyDescent="0.3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32</v>
      </c>
      <c r="F50" s="3" t="s">
        <v>25</v>
      </c>
      <c r="G50" s="3" t="s">
        <v>25</v>
      </c>
      <c r="H50" s="3" t="s">
        <v>25</v>
      </c>
      <c r="I50" s="6">
        <v>44621</v>
      </c>
      <c r="J50" s="4">
        <v>0</v>
      </c>
      <c r="K50" s="4">
        <v>0</v>
      </c>
      <c r="L50" s="4">
        <v>5.7759999999999998</v>
      </c>
      <c r="M50" s="4">
        <v>5.7759999999999998</v>
      </c>
      <c r="N50" s="4">
        <v>5.7759999999999998</v>
      </c>
      <c r="O50" s="4">
        <v>5.7759999999999998</v>
      </c>
      <c r="P50" s="4">
        <v>66</v>
      </c>
      <c r="Q50" s="3" t="s">
        <v>26</v>
      </c>
      <c r="R50" s="3">
        <v>0</v>
      </c>
      <c r="S50" s="3">
        <v>0</v>
      </c>
      <c r="T50" s="3">
        <v>22</v>
      </c>
      <c r="U50" s="3">
        <v>60</v>
      </c>
      <c r="V50" s="4">
        <f>IF(ISERROR(VLOOKUP($S$50,'TAR FIN'!$A$1:$O$88,15,0)),0,VLOOKUP($S$50,'TAR FIN'!$A$1:$O$88,15,0))</f>
        <v>0</v>
      </c>
      <c r="W50" s="4">
        <f>IF(ISERROR(VLOOKUP($T$50,'TAR FIN'!$A$1:$O$88,15,0)),0,VLOOKUP($T$50,'TAR FIN'!$A$1:$O$88,15,0))</f>
        <v>238.45</v>
      </c>
      <c r="X50" s="4">
        <f>IF(ISERROR(VLOOKUP($U$50,'TAR FIN'!$A$1:$O$88,15,0)),0,VLOOKUP($U$50,'TAR FIN'!$A$1:$O$88,15,0))</f>
        <v>242.35</v>
      </c>
      <c r="Y50" s="4"/>
      <c r="Z50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50" s="4">
        <f>('TE BE'!$AB$14+'TE BF'!$AB$14+'TE CVA'!$AB$14)*(1-CUSTOS!$M$37)</f>
        <v>191.00751406315655</v>
      </c>
      <c r="AB50" s="4">
        <f t="shared" si="4"/>
        <v>0</v>
      </c>
      <c r="AC50" s="4">
        <f>(L50-M50)*(W50+X50)+($W$43+$X$43-$W$50-$X$50)*(L50)</f>
        <v>-1.6416379367001354E-13</v>
      </c>
      <c r="AD50" s="4">
        <f t="shared" si="5"/>
        <v>0</v>
      </c>
      <c r="AE50" s="4">
        <f ca="1">(L50-M50)*(Z50+AA50)+($Z$43+$AA$43-$Z$50-$AA$50)*(L50)</f>
        <v>-1.6416379367001354E-13</v>
      </c>
      <c r="AF50" s="3" t="s">
        <v>624</v>
      </c>
    </row>
    <row r="51" spans="1:32" ht="11.25" customHeight="1" x14ac:dyDescent="0.3">
      <c r="A51" s="3" t="s">
        <v>27</v>
      </c>
      <c r="B51" s="3" t="s">
        <v>22</v>
      </c>
      <c r="C51" s="3" t="s">
        <v>23</v>
      </c>
      <c r="D51" s="3" t="s">
        <v>24</v>
      </c>
      <c r="E51" s="3" t="s">
        <v>32</v>
      </c>
      <c r="F51" s="3" t="s">
        <v>25</v>
      </c>
      <c r="G51" s="3" t="s">
        <v>25</v>
      </c>
      <c r="H51" s="3" t="s">
        <v>25</v>
      </c>
      <c r="I51" s="6">
        <v>44621</v>
      </c>
      <c r="J51" s="4">
        <v>0</v>
      </c>
      <c r="K51" s="4">
        <v>0</v>
      </c>
      <c r="L51" s="4">
        <v>-0.21</v>
      </c>
      <c r="M51" s="4">
        <v>-0.21</v>
      </c>
      <c r="N51" s="4">
        <v>-0.21</v>
      </c>
      <c r="O51" s="4">
        <v>-0.21</v>
      </c>
      <c r="P51" s="4">
        <v>0</v>
      </c>
      <c r="Q51" s="3" t="s">
        <v>26</v>
      </c>
      <c r="R51" s="3">
        <v>0</v>
      </c>
      <c r="S51" s="3">
        <v>0</v>
      </c>
      <c r="T51" s="3">
        <v>22</v>
      </c>
      <c r="U51" s="3">
        <v>60</v>
      </c>
      <c r="V51" s="4">
        <f>IF(ISERROR(VLOOKUP($S$51,'TAR FIN'!$A$1:$O$88,15,0)),0,VLOOKUP($S$51,'TAR FIN'!$A$1:$O$88,15,0))</f>
        <v>0</v>
      </c>
      <c r="W51" s="4">
        <f>IF(ISERROR(VLOOKUP($T$51,'TAR FIN'!$A$1:$O$88,15,0)),0,VLOOKUP($T$51,'TAR FIN'!$A$1:$O$88,15,0))</f>
        <v>238.45</v>
      </c>
      <c r="X51" s="4">
        <f>IF(ISERROR(VLOOKUP($U$51,'TAR FIN'!$A$1:$O$88,15,0)),0,VLOOKUP($U$51,'TAR FIN'!$A$1:$O$88,15,0))</f>
        <v>242.35</v>
      </c>
      <c r="Y51" s="4"/>
      <c r="Z51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51" s="4">
        <f>('TE BE'!$AB$14+'TE BF'!$AB$14+'TE CVA'!$AB$14)*(1-CUSTOS!$M$37)</f>
        <v>191.00751406315655</v>
      </c>
      <c r="AB51" s="4">
        <f t="shared" si="4"/>
        <v>0</v>
      </c>
      <c r="AC51" s="4">
        <f>(L51-M51)*(W51+X51)+($W$43+$X$43-$W$51-$X$51)*(L51)</f>
        <v>5.9685589803848413E-15</v>
      </c>
      <c r="AD51" s="4">
        <f t="shared" si="5"/>
        <v>0</v>
      </c>
      <c r="AE51" s="4">
        <f ca="1">(L51-M51)*(Z51+AA51)+($Z$43+$AA$43-$Z$51-$AA$51)*(L51)</f>
        <v>5.9685589803848413E-15</v>
      </c>
      <c r="AF51" s="3" t="s">
        <v>624</v>
      </c>
    </row>
    <row r="52" spans="1:32" ht="11.25" customHeight="1" x14ac:dyDescent="0.3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32</v>
      </c>
      <c r="F52" s="3" t="s">
        <v>25</v>
      </c>
      <c r="G52" s="3" t="s">
        <v>25</v>
      </c>
      <c r="H52" s="3" t="s">
        <v>25</v>
      </c>
      <c r="I52" s="6">
        <v>44652</v>
      </c>
      <c r="J52" s="4">
        <v>0</v>
      </c>
      <c r="K52" s="4">
        <v>0</v>
      </c>
      <c r="L52" s="4">
        <v>4.3879999999999999</v>
      </c>
      <c r="M52" s="4">
        <v>4.3879999999999999</v>
      </c>
      <c r="N52" s="4">
        <v>4.3879999999999999</v>
      </c>
      <c r="O52" s="4">
        <v>4.3879999999999999</v>
      </c>
      <c r="P52" s="4">
        <v>57</v>
      </c>
      <c r="Q52" s="3" t="s">
        <v>26</v>
      </c>
      <c r="R52" s="3">
        <v>0</v>
      </c>
      <c r="S52" s="3">
        <v>0</v>
      </c>
      <c r="T52" s="3">
        <v>22</v>
      </c>
      <c r="U52" s="3">
        <v>60</v>
      </c>
      <c r="V52" s="4">
        <f>IF(ISERROR(VLOOKUP($S$52,'TAR FIN'!$A$1:$O$88,15,0)),0,VLOOKUP($S$52,'TAR FIN'!$A$1:$O$88,15,0))</f>
        <v>0</v>
      </c>
      <c r="W52" s="4">
        <f>IF(ISERROR(VLOOKUP($T$52,'TAR FIN'!$A$1:$O$88,15,0)),0,VLOOKUP($T$52,'TAR FIN'!$A$1:$O$88,15,0))</f>
        <v>238.45</v>
      </c>
      <c r="X52" s="4">
        <f>IF(ISERROR(VLOOKUP($U$52,'TAR FIN'!$A$1:$O$88,15,0)),0,VLOOKUP($U$52,'TAR FIN'!$A$1:$O$88,15,0))</f>
        <v>242.35</v>
      </c>
      <c r="Y52" s="4"/>
      <c r="Z52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52" s="4">
        <f>('TE BE'!$AB$14+'TE BF'!$AB$14+'TE CVA'!$AB$14)*(1-CUSTOS!$M$37)</f>
        <v>191.00751406315655</v>
      </c>
      <c r="AB52" s="4">
        <f t="shared" si="4"/>
        <v>0</v>
      </c>
      <c r="AC52" s="4">
        <f>(L52-M52)*(W52+X52)+($W$43+$X$43-$W$52-$X$52)*(L52)</f>
        <v>-1.2471446098061278E-13</v>
      </c>
      <c r="AD52" s="4">
        <f t="shared" si="5"/>
        <v>0</v>
      </c>
      <c r="AE52" s="4">
        <f ca="1">(L52-M52)*(Z52+AA52)+($Z$43+$AA$43-$Z$52-$AA$52)*(L52)</f>
        <v>-1.2471446098061278E-13</v>
      </c>
      <c r="AF52" s="3" t="s">
        <v>624</v>
      </c>
    </row>
    <row r="53" spans="1:32" ht="11.25" customHeight="1" x14ac:dyDescent="0.3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32</v>
      </c>
      <c r="F53" s="3" t="s">
        <v>25</v>
      </c>
      <c r="G53" s="3" t="s">
        <v>25</v>
      </c>
      <c r="H53" s="3" t="s">
        <v>25</v>
      </c>
      <c r="I53" s="6">
        <v>44682</v>
      </c>
      <c r="J53" s="4">
        <v>0</v>
      </c>
      <c r="K53" s="4">
        <v>0</v>
      </c>
      <c r="L53" s="4">
        <v>2.4380000000000002</v>
      </c>
      <c r="M53" s="4">
        <v>2.4380000000000002</v>
      </c>
      <c r="N53" s="4">
        <v>2.4380000000000002</v>
      </c>
      <c r="O53" s="4">
        <v>2.4380000000000002</v>
      </c>
      <c r="P53" s="4">
        <v>37</v>
      </c>
      <c r="Q53" s="3" t="s">
        <v>26</v>
      </c>
      <c r="R53" s="3">
        <v>0</v>
      </c>
      <c r="S53" s="3">
        <v>0</v>
      </c>
      <c r="T53" s="3">
        <v>22</v>
      </c>
      <c r="U53" s="3">
        <v>60</v>
      </c>
      <c r="V53" s="4">
        <f>IF(ISERROR(VLOOKUP($S$53,'TAR FIN'!$A$1:$O$88,15,0)),0,VLOOKUP($S$53,'TAR FIN'!$A$1:$O$88,15,0))</f>
        <v>0</v>
      </c>
      <c r="W53" s="4">
        <f>IF(ISERROR(VLOOKUP($T$53,'TAR FIN'!$A$1:$O$88,15,0)),0,VLOOKUP($T$53,'TAR FIN'!$A$1:$O$88,15,0))</f>
        <v>238.45</v>
      </c>
      <c r="X53" s="4">
        <f>IF(ISERROR(VLOOKUP($U$53,'TAR FIN'!$A$1:$O$88,15,0)),0,VLOOKUP($U$53,'TAR FIN'!$A$1:$O$88,15,0))</f>
        <v>242.35</v>
      </c>
      <c r="Y53" s="4"/>
      <c r="Z53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53" s="4">
        <f>('TE BE'!$AB$14+'TE BF'!$AB$14+'TE CVA'!$AB$14)*(1-CUSTOS!$M$37)</f>
        <v>191.00751406315655</v>
      </c>
      <c r="AB53" s="4">
        <f t="shared" si="4"/>
        <v>0</v>
      </c>
      <c r="AC53" s="4">
        <f>(L53-M53)*(W53+X53)+($W$43+$X$43-$W$53-$X$53)*(L53)</f>
        <v>-6.9292127591324975E-14</v>
      </c>
      <c r="AD53" s="4">
        <f t="shared" si="5"/>
        <v>0</v>
      </c>
      <c r="AE53" s="4">
        <f ca="1">(L53-M53)*(Z53+AA53)+($Z$43+$AA$43-$Z$53-$AA$53)*(L53)</f>
        <v>-6.9292127591324975E-14</v>
      </c>
      <c r="AF53" s="3" t="s">
        <v>624</v>
      </c>
    </row>
    <row r="54" spans="1:32" ht="11.25" customHeight="1" x14ac:dyDescent="0.3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32</v>
      </c>
      <c r="F54" s="3" t="s">
        <v>25</v>
      </c>
      <c r="G54" s="3" t="s">
        <v>25</v>
      </c>
      <c r="H54" s="3" t="s">
        <v>25</v>
      </c>
      <c r="I54" s="6">
        <v>44713</v>
      </c>
      <c r="J54" s="4">
        <v>0</v>
      </c>
      <c r="K54" s="4">
        <v>0</v>
      </c>
      <c r="L54" s="4">
        <v>3.9569999999999999</v>
      </c>
      <c r="M54" s="4">
        <v>3.9569999999999999</v>
      </c>
      <c r="N54" s="4">
        <v>3.9569999999999999</v>
      </c>
      <c r="O54" s="4">
        <v>3.9569999999999999</v>
      </c>
      <c r="P54" s="4">
        <v>65</v>
      </c>
      <c r="Q54" s="3" t="s">
        <v>26</v>
      </c>
      <c r="R54" s="3">
        <v>0</v>
      </c>
      <c r="S54" s="3">
        <v>0</v>
      </c>
      <c r="T54" s="3">
        <v>22</v>
      </c>
      <c r="U54" s="3">
        <v>60</v>
      </c>
      <c r="V54" s="4">
        <f>IF(ISERROR(VLOOKUP($S$54,'TAR FIN'!$A$1:$O$88,15,0)),0,VLOOKUP($S$54,'TAR FIN'!$A$1:$O$88,15,0))</f>
        <v>0</v>
      </c>
      <c r="W54" s="4">
        <f>IF(ISERROR(VLOOKUP($T$54,'TAR FIN'!$A$1:$O$88,15,0)),0,VLOOKUP($T$54,'TAR FIN'!$A$1:$O$88,15,0))</f>
        <v>238.45</v>
      </c>
      <c r="X54" s="4">
        <f>IF(ISERROR(VLOOKUP($U$54,'TAR FIN'!$A$1:$O$88,15,0)),0,VLOOKUP($U$54,'TAR FIN'!$A$1:$O$88,15,0))</f>
        <v>242.35</v>
      </c>
      <c r="Y54" s="4"/>
      <c r="Z54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54" s="4">
        <f>('TE BE'!$AB$14+'TE BF'!$AB$14+'TE CVA'!$AB$14)*(1-CUSTOS!$M$37)</f>
        <v>191.00751406315655</v>
      </c>
      <c r="AB54" s="4">
        <f t="shared" si="4"/>
        <v>0</v>
      </c>
      <c r="AC54" s="4">
        <f>(L54-M54)*(W54+X54)+($W$43+$X$43-$W$54-$X$54)*(L54)</f>
        <v>-1.1246470421610865E-13</v>
      </c>
      <c r="AD54" s="4">
        <f t="shared" si="5"/>
        <v>0</v>
      </c>
      <c r="AE54" s="4">
        <f ca="1">(L54-M54)*(Z54+AA54)+($Z$43+$AA$43-$Z$54-$AA$54)*(L54)</f>
        <v>-1.1246470421610865E-13</v>
      </c>
      <c r="AF54" s="3" t="s">
        <v>624</v>
      </c>
    </row>
    <row r="55" spans="1:32" ht="11.25" customHeight="1" x14ac:dyDescent="0.3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32</v>
      </c>
      <c r="F55" s="3" t="s">
        <v>25</v>
      </c>
      <c r="G55" s="3" t="s">
        <v>25</v>
      </c>
      <c r="H55" s="3" t="s">
        <v>25</v>
      </c>
      <c r="I55" s="6">
        <v>44743</v>
      </c>
      <c r="J55" s="4">
        <v>0</v>
      </c>
      <c r="K55" s="4">
        <v>0</v>
      </c>
      <c r="L55" s="4">
        <v>4.8789999999999996</v>
      </c>
      <c r="M55" s="4">
        <v>4.8789999999999996</v>
      </c>
      <c r="N55" s="4">
        <v>4.8789999999999996</v>
      </c>
      <c r="O55" s="4">
        <v>4.8789999999999996</v>
      </c>
      <c r="P55" s="4">
        <v>65</v>
      </c>
      <c r="Q55" s="3" t="s">
        <v>26</v>
      </c>
      <c r="R55" s="3">
        <v>0</v>
      </c>
      <c r="S55" s="3">
        <v>0</v>
      </c>
      <c r="T55" s="3">
        <v>22</v>
      </c>
      <c r="U55" s="3">
        <v>60</v>
      </c>
      <c r="V55" s="4">
        <f>IF(ISERROR(VLOOKUP($S$55,'TAR FIN'!$A$1:$O$88,15,0)),0,VLOOKUP($S$55,'TAR FIN'!$A$1:$O$88,15,0))</f>
        <v>0</v>
      </c>
      <c r="W55" s="4">
        <f>IF(ISERROR(VLOOKUP($T$55,'TAR FIN'!$A$1:$O$88,15,0)),0,VLOOKUP($T$55,'TAR FIN'!$A$1:$O$88,15,0))</f>
        <v>238.45</v>
      </c>
      <c r="X55" s="4">
        <f>IF(ISERROR(VLOOKUP($U$55,'TAR FIN'!$A$1:$O$88,15,0)),0,VLOOKUP($U$55,'TAR FIN'!$A$1:$O$88,15,0))</f>
        <v>242.35</v>
      </c>
      <c r="Y55" s="4"/>
      <c r="Z55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55" s="4">
        <f>('TE BE'!$AB$14+'TE BF'!$AB$14+'TE CVA'!$AB$14)*(1-CUSTOS!$M$37)</f>
        <v>191.00751406315655</v>
      </c>
      <c r="AB55" s="4">
        <f t="shared" si="4"/>
        <v>0</v>
      </c>
      <c r="AC55" s="4">
        <f>(L55-M55)*(W55+X55)+($W$43+$X$43-$W$55-$X$55)*(L55)</f>
        <v>-1.3866952031094114E-13</v>
      </c>
      <c r="AD55" s="4">
        <f t="shared" si="5"/>
        <v>0</v>
      </c>
      <c r="AE55" s="4">
        <f ca="1">(L55-M55)*(Z55+AA55)+($Z$43+$AA$43-$Z$55-$AA$55)*(L55)</f>
        <v>-1.3866952031094114E-13</v>
      </c>
      <c r="AF55" s="3" t="s">
        <v>624</v>
      </c>
    </row>
    <row r="56" spans="1:32" ht="11.25" customHeight="1" x14ac:dyDescent="0.3">
      <c r="A56" s="3" t="s">
        <v>55</v>
      </c>
      <c r="B56" s="3" t="s">
        <v>22</v>
      </c>
      <c r="C56" s="3" t="s">
        <v>23</v>
      </c>
      <c r="D56" s="3" t="s">
        <v>24</v>
      </c>
      <c r="E56" s="3" t="s">
        <v>32</v>
      </c>
      <c r="F56" s="3" t="s">
        <v>25</v>
      </c>
      <c r="G56" s="3" t="s">
        <v>25</v>
      </c>
      <c r="H56" s="3" t="s">
        <v>25</v>
      </c>
      <c r="I56" s="6">
        <v>44774</v>
      </c>
      <c r="J56" s="4">
        <v>0</v>
      </c>
      <c r="K56" s="4">
        <v>0</v>
      </c>
      <c r="L56" s="4">
        <v>4.8789999999999996</v>
      </c>
      <c r="M56" s="4">
        <v>4.8789999999999996</v>
      </c>
      <c r="N56" s="4">
        <v>4.8789999999999996</v>
      </c>
      <c r="O56" s="4">
        <v>4.8789999999999996</v>
      </c>
      <c r="P56" s="4">
        <v>65</v>
      </c>
      <c r="Q56" s="3" t="s">
        <v>26</v>
      </c>
      <c r="R56" s="3">
        <v>0</v>
      </c>
      <c r="S56" s="3">
        <v>0</v>
      </c>
      <c r="T56" s="3">
        <v>22</v>
      </c>
      <c r="U56" s="3">
        <v>60</v>
      </c>
      <c r="V56" s="4">
        <f>IF(ISERROR(VLOOKUP($S$56,'TAR FIN'!$A$1:$O$88,15,0)),0,VLOOKUP($S$56,'TAR FIN'!$A$1:$O$88,15,0))</f>
        <v>0</v>
      </c>
      <c r="W56" s="4">
        <f>IF(ISERROR(VLOOKUP($T$56,'TAR FIN'!$A$1:$O$88,15,0)),0,VLOOKUP($T$56,'TAR FIN'!$A$1:$O$88,15,0))</f>
        <v>238.45</v>
      </c>
      <c r="X56" s="4">
        <f>IF(ISERROR(VLOOKUP($U$56,'TAR FIN'!$A$1:$O$88,15,0)),0,VLOOKUP($U$56,'TAR FIN'!$A$1:$O$88,15,0))</f>
        <v>242.35</v>
      </c>
      <c r="Y56" s="4"/>
      <c r="Z56" s="4">
        <f ca="1">('TUSD BE'!$AM$24+'TUSD BF'!$AM$24+'TUSD CVA'!$AM$24-('TUSD BE'!$P$24+'TUSD BF'!$P$24+'TUSD CVA'!$P$24)-('TUSD BE'!$Q$24+'TUSD BF'!$Q$24+'TUSD CVA'!$Q$24)-('TUSD BE'!$R$24+'TUSD BF'!$R$24+'TUSD CVA'!$R$24))*(1-CUSTOS!$M$37)</f>
        <v>346.92381196116338</v>
      </c>
      <c r="AA56" s="4">
        <f>('TE BE'!$AB$14+'TE BF'!$AB$14+'TE CVA'!$AB$14)*(1-CUSTOS!$M$37)</f>
        <v>191.00751406315655</v>
      </c>
      <c r="AB56" s="4">
        <f t="shared" si="4"/>
        <v>0</v>
      </c>
      <c r="AC56" s="4">
        <f>(L56-M56)*(W56+X56)+($W$43+$X$43-$W$56-$X$56)*(L56)</f>
        <v>-1.3866952031094114E-13</v>
      </c>
      <c r="AD56" s="4">
        <f t="shared" si="5"/>
        <v>0</v>
      </c>
      <c r="AE56" s="4">
        <f ca="1">(L56-M56)*(Z56+AA56)+($Z$43+$AA$43-$Z$56-$AA$56)*(L56)</f>
        <v>-1.3866952031094114E-13</v>
      </c>
      <c r="AF56" s="3" t="s">
        <v>624</v>
      </c>
    </row>
    <row r="57" spans="1:32" ht="11.25" customHeight="1" x14ac:dyDescent="0.3">
      <c r="A57" s="3" t="s">
        <v>21</v>
      </c>
      <c r="B57" s="3" t="s">
        <v>42</v>
      </c>
      <c r="C57" s="3" t="s">
        <v>23</v>
      </c>
      <c r="D57" s="3" t="s">
        <v>43</v>
      </c>
      <c r="E57" s="3" t="s">
        <v>51</v>
      </c>
      <c r="F57" s="3" t="s">
        <v>52</v>
      </c>
      <c r="G57" s="3" t="s">
        <v>25</v>
      </c>
      <c r="H57" s="3" t="s">
        <v>25</v>
      </c>
      <c r="I57" s="6">
        <v>44440</v>
      </c>
      <c r="J57" s="4">
        <v>0</v>
      </c>
      <c r="K57" s="4">
        <v>0</v>
      </c>
      <c r="L57" s="4">
        <v>6.2439999999999998</v>
      </c>
      <c r="M57" s="4">
        <v>6.2439999999999998</v>
      </c>
      <c r="N57" s="4">
        <v>6.2439999999999998</v>
      </c>
      <c r="O57" s="4">
        <v>6.2439999999999998</v>
      </c>
      <c r="P57" s="4">
        <v>0</v>
      </c>
      <c r="Q57" s="3" t="s">
        <v>26</v>
      </c>
      <c r="R57" s="3">
        <v>0</v>
      </c>
      <c r="S57" s="3">
        <v>0</v>
      </c>
      <c r="T57" s="3">
        <v>31</v>
      </c>
      <c r="U57" s="3">
        <v>69</v>
      </c>
      <c r="V57" s="4">
        <f>IF(ISERROR(VLOOKUP($S$57,'TAR FIN'!$A$1:$O$88,15,0)),0,VLOOKUP($S$57,'TAR FIN'!$A$1:$O$88,15,0))</f>
        <v>0</v>
      </c>
      <c r="W57" s="4">
        <f>IF(ISERROR(VLOOKUP($T$57,'TAR FIN'!$A$1:$O$88,15,0)),0,VLOOKUP($T$57,'TAR FIN'!$A$1:$O$88,15,0))</f>
        <v>269.45</v>
      </c>
      <c r="X57" s="4">
        <f>IF(ISERROR(VLOOKUP($U$57,'TAR FIN'!$A$1:$O$88,15,0)),0,VLOOKUP($U$57,'TAR FIN'!$A$1:$O$88,15,0))</f>
        <v>213.27</v>
      </c>
      <c r="Y57" s="4"/>
      <c r="Z57" s="4">
        <f ca="1">('TUSD BE'!$AM$33+'TUSD BF'!$AM$33+'TUSD CVA'!$AM$33)*(1-CUSTOS!$M$38)</f>
        <v>421.14033355107131</v>
      </c>
      <c r="AA57" s="4">
        <f>('TE BE'!$AB$23+'TE BF'!$AB$23+'TE CVA'!$AB$23)*(1-CUSTOS!$M$38)</f>
        <v>179.54706321936715</v>
      </c>
      <c r="AB57" s="4">
        <f t="shared" si="4"/>
        <v>0</v>
      </c>
      <c r="AC57" s="4">
        <f>(L57-M57)*(W57+X57)+($W$2+$X$2-$W$57-$X$57)*(L57)</f>
        <v>410.98007999999976</v>
      </c>
      <c r="AD57" s="4">
        <f t="shared" si="5"/>
        <v>0</v>
      </c>
      <c r="AE57" s="4">
        <f ca="1">(L57-M57)*(Z57+AA57)+($Z$2+$AA$2-$Z$57-$AA$57)*(L57)</f>
        <v>239.40587907029501</v>
      </c>
      <c r="AF57" s="3" t="s">
        <v>625</v>
      </c>
    </row>
    <row r="58" spans="1:32" ht="11.25" customHeight="1" x14ac:dyDescent="0.3">
      <c r="A58" s="3" t="s">
        <v>21</v>
      </c>
      <c r="B58" s="3" t="s">
        <v>42</v>
      </c>
      <c r="C58" s="3" t="s">
        <v>23</v>
      </c>
      <c r="D58" s="3" t="s">
        <v>43</v>
      </c>
      <c r="E58" s="3" t="s">
        <v>51</v>
      </c>
      <c r="F58" s="3" t="s">
        <v>52</v>
      </c>
      <c r="G58" s="3" t="s">
        <v>25</v>
      </c>
      <c r="H58" s="3" t="s">
        <v>25</v>
      </c>
      <c r="I58" s="6">
        <v>44470</v>
      </c>
      <c r="J58" s="4">
        <v>0</v>
      </c>
      <c r="K58" s="4">
        <v>0</v>
      </c>
      <c r="L58" s="4">
        <v>7.9189999999999996</v>
      </c>
      <c r="M58" s="4">
        <v>7.9189999999999996</v>
      </c>
      <c r="N58" s="4">
        <v>7.9189999999999996</v>
      </c>
      <c r="O58" s="4">
        <v>7.9189999999999996</v>
      </c>
      <c r="P58" s="4">
        <v>0</v>
      </c>
      <c r="Q58" s="3" t="s">
        <v>26</v>
      </c>
      <c r="R58" s="3">
        <v>0</v>
      </c>
      <c r="S58" s="3">
        <v>0</v>
      </c>
      <c r="T58" s="3">
        <v>31</v>
      </c>
      <c r="U58" s="3">
        <v>69</v>
      </c>
      <c r="V58" s="4">
        <f>IF(ISERROR(VLOOKUP($S$58,'TAR FIN'!$A$1:$O$88,15,0)),0,VLOOKUP($S$58,'TAR FIN'!$A$1:$O$88,15,0))</f>
        <v>0</v>
      </c>
      <c r="W58" s="4">
        <f>IF(ISERROR(VLOOKUP($T$58,'TAR FIN'!$A$1:$O$88,15,0)),0,VLOOKUP($T$58,'TAR FIN'!$A$1:$O$88,15,0))</f>
        <v>269.45</v>
      </c>
      <c r="X58" s="4">
        <f>IF(ISERROR(VLOOKUP($U$58,'TAR FIN'!$A$1:$O$88,15,0)),0,VLOOKUP($U$58,'TAR FIN'!$A$1:$O$88,15,0))</f>
        <v>213.27</v>
      </c>
      <c r="Y58" s="4"/>
      <c r="Z58" s="4">
        <f ca="1">('TUSD BE'!$AM$33+'TUSD BF'!$AM$33+'TUSD CVA'!$AM$33)*(1-CUSTOS!$M$38)</f>
        <v>421.14033355107131</v>
      </c>
      <c r="AA58" s="4">
        <f>('TE BE'!$AB$23+'TE BF'!$AB$23+'TE CVA'!$AB$23)*(1-CUSTOS!$M$38)</f>
        <v>179.54706321936715</v>
      </c>
      <c r="AB58" s="4">
        <f t="shared" si="4"/>
        <v>0</v>
      </c>
      <c r="AC58" s="4">
        <f>(L58-M58)*(W58+X58)+($W$2+$X$2-$W$58-$X$58)*(L58)</f>
        <v>521.22857999999974</v>
      </c>
      <c r="AD58" s="4">
        <f t="shared" si="5"/>
        <v>0</v>
      </c>
      <c r="AE58" s="4">
        <f ca="1">(L58-M58)*(Z58+AA58)+($Z$2+$AA$2-$Z$58-$AA$58)*(L58)</f>
        <v>303.62830819309198</v>
      </c>
      <c r="AF58" s="3" t="s">
        <v>625</v>
      </c>
    </row>
    <row r="59" spans="1:32" ht="11.25" customHeight="1" x14ac:dyDescent="0.3">
      <c r="A59" s="3" t="s">
        <v>27</v>
      </c>
      <c r="B59" s="3" t="s">
        <v>42</v>
      </c>
      <c r="C59" s="3" t="s">
        <v>23</v>
      </c>
      <c r="D59" s="3" t="s">
        <v>43</v>
      </c>
      <c r="E59" s="3" t="s">
        <v>51</v>
      </c>
      <c r="F59" s="3" t="s">
        <v>52</v>
      </c>
      <c r="G59" s="3" t="s">
        <v>25</v>
      </c>
      <c r="H59" s="3" t="s">
        <v>25</v>
      </c>
      <c r="I59" s="6">
        <v>44470</v>
      </c>
      <c r="J59" s="4">
        <v>0</v>
      </c>
      <c r="K59" s="4">
        <v>0</v>
      </c>
      <c r="L59" s="4">
        <v>-0.1</v>
      </c>
      <c r="M59" s="4">
        <v>-0.1</v>
      </c>
      <c r="N59" s="4">
        <v>-0.1</v>
      </c>
      <c r="O59" s="4">
        <v>-0.1</v>
      </c>
      <c r="P59" s="4">
        <v>0</v>
      </c>
      <c r="Q59" s="3" t="s">
        <v>26</v>
      </c>
      <c r="R59" s="3">
        <v>0</v>
      </c>
      <c r="S59" s="3">
        <v>0</v>
      </c>
      <c r="T59" s="3">
        <v>31</v>
      </c>
      <c r="U59" s="3">
        <v>69</v>
      </c>
      <c r="V59" s="4">
        <f>IF(ISERROR(VLOOKUP($S$59,'TAR FIN'!$A$1:$O$88,15,0)),0,VLOOKUP($S$59,'TAR FIN'!$A$1:$O$88,15,0))</f>
        <v>0</v>
      </c>
      <c r="W59" s="4">
        <f>IF(ISERROR(VLOOKUP($T$59,'TAR FIN'!$A$1:$O$88,15,0)),0,VLOOKUP($T$59,'TAR FIN'!$A$1:$O$88,15,0))</f>
        <v>269.45</v>
      </c>
      <c r="X59" s="4">
        <f>IF(ISERROR(VLOOKUP($U$59,'TAR FIN'!$A$1:$O$88,15,0)),0,VLOOKUP($U$59,'TAR FIN'!$A$1:$O$88,15,0))</f>
        <v>213.27</v>
      </c>
      <c r="Y59" s="4"/>
      <c r="Z59" s="4">
        <f ca="1">('TUSD BE'!$AM$33+'TUSD BF'!$AM$33+'TUSD CVA'!$AM$33)*(1-CUSTOS!$M$38)</f>
        <v>421.14033355107131</v>
      </c>
      <c r="AA59" s="4">
        <f>('TE BE'!$AB$23+'TE BF'!$AB$23+'TE CVA'!$AB$23)*(1-CUSTOS!$M$38)</f>
        <v>179.54706321936715</v>
      </c>
      <c r="AB59" s="4">
        <f t="shared" si="4"/>
        <v>0</v>
      </c>
      <c r="AC59" s="4">
        <f>(L59-M59)*(W59+X59)+($W$2+$X$2-$W$59-$X$59)*(L59)</f>
        <v>-6.5819999999999972</v>
      </c>
      <c r="AD59" s="4">
        <f t="shared" si="5"/>
        <v>0</v>
      </c>
      <c r="AE59" s="4">
        <f ca="1">(L59-M59)*(Z59+AA59)+($Z$2+$AA$2-$Z$59-$AA$59)*(L59)</f>
        <v>-3.8341748730028034</v>
      </c>
      <c r="AF59" s="3" t="s">
        <v>625</v>
      </c>
    </row>
    <row r="60" spans="1:32" ht="11.25" customHeight="1" x14ac:dyDescent="0.3">
      <c r="A60" s="3" t="s">
        <v>21</v>
      </c>
      <c r="B60" s="3" t="s">
        <v>42</v>
      </c>
      <c r="C60" s="3" t="s">
        <v>23</v>
      </c>
      <c r="D60" s="3" t="s">
        <v>43</v>
      </c>
      <c r="E60" s="3" t="s">
        <v>51</v>
      </c>
      <c r="F60" s="3" t="s">
        <v>52</v>
      </c>
      <c r="G60" s="3" t="s">
        <v>25</v>
      </c>
      <c r="H60" s="3" t="s">
        <v>25</v>
      </c>
      <c r="I60" s="6">
        <v>44501</v>
      </c>
      <c r="J60" s="4">
        <v>0</v>
      </c>
      <c r="K60" s="4">
        <v>0</v>
      </c>
      <c r="L60" s="4">
        <v>11.58</v>
      </c>
      <c r="M60" s="4">
        <v>11.58</v>
      </c>
      <c r="N60" s="4">
        <v>11.58</v>
      </c>
      <c r="O60" s="4">
        <v>11.58</v>
      </c>
      <c r="P60" s="4">
        <v>0</v>
      </c>
      <c r="Q60" s="3" t="s">
        <v>26</v>
      </c>
      <c r="R60" s="3">
        <v>0</v>
      </c>
      <c r="S60" s="3">
        <v>0</v>
      </c>
      <c r="T60" s="3">
        <v>31</v>
      </c>
      <c r="U60" s="3">
        <v>69</v>
      </c>
      <c r="V60" s="4">
        <f>IF(ISERROR(VLOOKUP($S$60,'TAR FIN'!$A$1:$O$88,15,0)),0,VLOOKUP($S$60,'TAR FIN'!$A$1:$O$88,15,0))</f>
        <v>0</v>
      </c>
      <c r="W60" s="4">
        <f>IF(ISERROR(VLOOKUP($T$60,'TAR FIN'!$A$1:$O$88,15,0)),0,VLOOKUP($T$60,'TAR FIN'!$A$1:$O$88,15,0))</f>
        <v>269.45</v>
      </c>
      <c r="X60" s="4">
        <f>IF(ISERROR(VLOOKUP($U$60,'TAR FIN'!$A$1:$O$88,15,0)),0,VLOOKUP($U$60,'TAR FIN'!$A$1:$O$88,15,0))</f>
        <v>213.27</v>
      </c>
      <c r="Y60" s="4"/>
      <c r="Z60" s="4">
        <f ca="1">('TUSD BE'!$AM$33+'TUSD BF'!$AM$33+'TUSD CVA'!$AM$33)*(1-CUSTOS!$M$38)</f>
        <v>421.14033355107131</v>
      </c>
      <c r="AA60" s="4">
        <f>('TE BE'!$AB$23+'TE BF'!$AB$23+'TE CVA'!$AB$23)*(1-CUSTOS!$M$38)</f>
        <v>179.54706321936715</v>
      </c>
      <c r="AB60" s="4">
        <f t="shared" si="4"/>
        <v>0</v>
      </c>
      <c r="AC60" s="4">
        <f>(L60-M60)*(W60+X60)+($W$2+$X$2-$W$60-$X$60)*(L60)</f>
        <v>762.19559999999956</v>
      </c>
      <c r="AD60" s="4">
        <f t="shared" si="5"/>
        <v>0</v>
      </c>
      <c r="AE60" s="4">
        <f ca="1">(L60-M60)*(Z60+AA60)+($Z$2+$AA$2-$Z$60-$AA$60)*(L60)</f>
        <v>443.99745029372457</v>
      </c>
      <c r="AF60" s="3" t="s">
        <v>625</v>
      </c>
    </row>
    <row r="61" spans="1:32" ht="11.25" customHeight="1" x14ac:dyDescent="0.3">
      <c r="A61" s="3" t="s">
        <v>21</v>
      </c>
      <c r="B61" s="3" t="s">
        <v>42</v>
      </c>
      <c r="C61" s="3" t="s">
        <v>23</v>
      </c>
      <c r="D61" s="3" t="s">
        <v>43</v>
      </c>
      <c r="E61" s="3" t="s">
        <v>51</v>
      </c>
      <c r="F61" s="3" t="s">
        <v>52</v>
      </c>
      <c r="G61" s="3" t="s">
        <v>25</v>
      </c>
      <c r="H61" s="3" t="s">
        <v>25</v>
      </c>
      <c r="I61" s="6">
        <v>44531</v>
      </c>
      <c r="J61" s="4">
        <v>0</v>
      </c>
      <c r="K61" s="4">
        <v>0</v>
      </c>
      <c r="L61" s="4">
        <v>8.4139999999999997</v>
      </c>
      <c r="M61" s="4">
        <v>8.4139999999999997</v>
      </c>
      <c r="N61" s="4">
        <v>8.4139999999999997</v>
      </c>
      <c r="O61" s="4">
        <v>8.4139999999999997</v>
      </c>
      <c r="P61" s="4">
        <v>0</v>
      </c>
      <c r="Q61" s="3" t="s">
        <v>26</v>
      </c>
      <c r="R61" s="3">
        <v>0</v>
      </c>
      <c r="S61" s="3">
        <v>0</v>
      </c>
      <c r="T61" s="3">
        <v>31</v>
      </c>
      <c r="U61" s="3">
        <v>69</v>
      </c>
      <c r="V61" s="4">
        <f>IF(ISERROR(VLOOKUP($S$61,'TAR FIN'!$A$1:$O$88,15,0)),0,VLOOKUP($S$61,'TAR FIN'!$A$1:$O$88,15,0))</f>
        <v>0</v>
      </c>
      <c r="W61" s="4">
        <f>IF(ISERROR(VLOOKUP($T$61,'TAR FIN'!$A$1:$O$88,15,0)),0,VLOOKUP($T$61,'TAR FIN'!$A$1:$O$88,15,0))</f>
        <v>269.45</v>
      </c>
      <c r="X61" s="4">
        <f>IF(ISERROR(VLOOKUP($U$61,'TAR FIN'!$A$1:$O$88,15,0)),0,VLOOKUP($U$61,'TAR FIN'!$A$1:$O$88,15,0))</f>
        <v>213.27</v>
      </c>
      <c r="Y61" s="4"/>
      <c r="Z61" s="4">
        <f ca="1">('TUSD BE'!$AM$33+'TUSD BF'!$AM$33+'TUSD CVA'!$AM$33)*(1-CUSTOS!$M$38)</f>
        <v>421.14033355107131</v>
      </c>
      <c r="AA61" s="4">
        <f>('TE BE'!$AB$23+'TE BF'!$AB$23+'TE CVA'!$AB$23)*(1-CUSTOS!$M$38)</f>
        <v>179.54706321936715</v>
      </c>
      <c r="AB61" s="4">
        <f t="shared" si="4"/>
        <v>0</v>
      </c>
      <c r="AC61" s="4">
        <f>(L61-M61)*(W61+X61)+($W$2+$X$2-$W$61-$X$61)*(L61)</f>
        <v>553.80947999999967</v>
      </c>
      <c r="AD61" s="4">
        <f t="shared" si="5"/>
        <v>0</v>
      </c>
      <c r="AE61" s="4">
        <f ca="1">(L61-M61)*(Z61+AA61)+($Z$2+$AA$2-$Z$61-$AA$61)*(L61)</f>
        <v>322.60747381445583</v>
      </c>
      <c r="AF61" s="3" t="s">
        <v>625</v>
      </c>
    </row>
    <row r="62" spans="1:32" ht="11.25" customHeight="1" x14ac:dyDescent="0.3">
      <c r="A62" s="3" t="s">
        <v>28</v>
      </c>
      <c r="B62" s="3" t="s">
        <v>42</v>
      </c>
      <c r="C62" s="3" t="s">
        <v>23</v>
      </c>
      <c r="D62" s="3" t="s">
        <v>43</v>
      </c>
      <c r="E62" s="3" t="s">
        <v>51</v>
      </c>
      <c r="F62" s="3" t="s">
        <v>52</v>
      </c>
      <c r="G62" s="3" t="s">
        <v>25</v>
      </c>
      <c r="H62" s="3" t="s">
        <v>25</v>
      </c>
      <c r="I62" s="6">
        <v>44531</v>
      </c>
      <c r="J62" s="4">
        <v>0</v>
      </c>
      <c r="K62" s="4">
        <v>0</v>
      </c>
      <c r="L62" s="4">
        <v>0.26500000000000001</v>
      </c>
      <c r="M62" s="4">
        <v>0.26500000000000001</v>
      </c>
      <c r="N62" s="4">
        <v>0.26500000000000001</v>
      </c>
      <c r="O62" s="4">
        <v>0.26500000000000001</v>
      </c>
      <c r="P62" s="4">
        <v>0</v>
      </c>
      <c r="Q62" s="3" t="s">
        <v>26</v>
      </c>
      <c r="R62" s="3">
        <v>0</v>
      </c>
      <c r="S62" s="3">
        <v>0</v>
      </c>
      <c r="T62" s="3">
        <v>31</v>
      </c>
      <c r="U62" s="3">
        <v>69</v>
      </c>
      <c r="V62" s="4">
        <f>IF(ISERROR(VLOOKUP($S$62,'TAR FIN'!$A$1:$O$88,15,0)),0,VLOOKUP($S$62,'TAR FIN'!$A$1:$O$88,15,0))</f>
        <v>0</v>
      </c>
      <c r="W62" s="4">
        <f>IF(ISERROR(VLOOKUP($T$62,'TAR FIN'!$A$1:$O$88,15,0)),0,VLOOKUP($T$62,'TAR FIN'!$A$1:$O$88,15,0))</f>
        <v>269.45</v>
      </c>
      <c r="X62" s="4">
        <f>IF(ISERROR(VLOOKUP($U$62,'TAR FIN'!$A$1:$O$88,15,0)),0,VLOOKUP($U$62,'TAR FIN'!$A$1:$O$88,15,0))</f>
        <v>213.27</v>
      </c>
      <c r="Y62" s="4"/>
      <c r="Z62" s="4">
        <f ca="1">('TUSD BE'!$AM$33+'TUSD BF'!$AM$33+'TUSD CVA'!$AM$33)*(1-CUSTOS!$M$38)</f>
        <v>421.14033355107131</v>
      </c>
      <c r="AA62" s="4">
        <f>('TE BE'!$AB$23+'TE BF'!$AB$23+'TE CVA'!$AB$23)*(1-CUSTOS!$M$38)</f>
        <v>179.54706321936715</v>
      </c>
      <c r="AB62" s="4">
        <f t="shared" si="4"/>
        <v>0</v>
      </c>
      <c r="AC62" s="4">
        <f>(L62-M62)*(W62+X62)+($W$2+$X$2-$W$62-$X$62)*(L62)</f>
        <v>17.442299999999992</v>
      </c>
      <c r="AD62" s="4">
        <f t="shared" si="5"/>
        <v>0</v>
      </c>
      <c r="AE62" s="4">
        <f ca="1">(L62-M62)*(Z62+AA62)+($Z$2+$AA$2-$Z$62-$AA$62)*(L62)</f>
        <v>10.160563413457428</v>
      </c>
      <c r="AF62" s="3" t="s">
        <v>625</v>
      </c>
    </row>
    <row r="63" spans="1:32" ht="11.25" customHeight="1" x14ac:dyDescent="0.3">
      <c r="A63" s="3" t="s">
        <v>21</v>
      </c>
      <c r="B63" s="3" t="s">
        <v>42</v>
      </c>
      <c r="C63" s="3" t="s">
        <v>23</v>
      </c>
      <c r="D63" s="3" t="s">
        <v>43</v>
      </c>
      <c r="E63" s="3" t="s">
        <v>51</v>
      </c>
      <c r="F63" s="3" t="s">
        <v>52</v>
      </c>
      <c r="G63" s="3" t="s">
        <v>25</v>
      </c>
      <c r="H63" s="3" t="s">
        <v>25</v>
      </c>
      <c r="I63" s="6">
        <v>44562</v>
      </c>
      <c r="J63" s="4">
        <v>0</v>
      </c>
      <c r="K63" s="4">
        <v>0</v>
      </c>
      <c r="L63" s="4">
        <v>19.024999999999999</v>
      </c>
      <c r="M63" s="4">
        <v>19.024999999999999</v>
      </c>
      <c r="N63" s="4">
        <v>19.024999999999999</v>
      </c>
      <c r="O63" s="4">
        <v>19.024999999999999</v>
      </c>
      <c r="P63" s="4">
        <v>0</v>
      </c>
      <c r="Q63" s="3" t="s">
        <v>26</v>
      </c>
      <c r="R63" s="3">
        <v>0</v>
      </c>
      <c r="S63" s="3">
        <v>0</v>
      </c>
      <c r="T63" s="3">
        <v>31</v>
      </c>
      <c r="U63" s="3">
        <v>69</v>
      </c>
      <c r="V63" s="4">
        <f>IF(ISERROR(VLOOKUP($S$63,'TAR FIN'!$A$1:$O$88,15,0)),0,VLOOKUP($S$63,'TAR FIN'!$A$1:$O$88,15,0))</f>
        <v>0</v>
      </c>
      <c r="W63" s="4">
        <f>IF(ISERROR(VLOOKUP($T$63,'TAR FIN'!$A$1:$O$88,15,0)),0,VLOOKUP($T$63,'TAR FIN'!$A$1:$O$88,15,0))</f>
        <v>269.45</v>
      </c>
      <c r="X63" s="4">
        <f>IF(ISERROR(VLOOKUP($U$63,'TAR FIN'!$A$1:$O$88,15,0)),0,VLOOKUP($U$63,'TAR FIN'!$A$1:$O$88,15,0))</f>
        <v>213.27</v>
      </c>
      <c r="Y63" s="4"/>
      <c r="Z63" s="4">
        <f ca="1">('TUSD BE'!$AM$33+'TUSD BF'!$AM$33+'TUSD CVA'!$AM$33)*(1-CUSTOS!$M$38)</f>
        <v>421.14033355107131</v>
      </c>
      <c r="AA63" s="4">
        <f>('TE BE'!$AB$23+'TE BF'!$AB$23+'TE CVA'!$AB$23)*(1-CUSTOS!$M$38)</f>
        <v>179.54706321936715</v>
      </c>
      <c r="AB63" s="4">
        <f t="shared" si="4"/>
        <v>0</v>
      </c>
      <c r="AC63" s="4">
        <f>(L63-M63)*(W63+X63)+($W$2+$X$2-$W$63-$X$63)*(L63)</f>
        <v>1252.2254999999993</v>
      </c>
      <c r="AD63" s="4">
        <f t="shared" si="5"/>
        <v>0</v>
      </c>
      <c r="AE63" s="4">
        <f ca="1">(L63-M63)*(Z63+AA63)+($Z$2+$AA$2-$Z$63-$AA$63)*(L63)</f>
        <v>729.45176958878324</v>
      </c>
      <c r="AF63" s="3" t="s">
        <v>625</v>
      </c>
    </row>
    <row r="64" spans="1:32" ht="11.25" customHeight="1" x14ac:dyDescent="0.3">
      <c r="A64" s="3" t="s">
        <v>27</v>
      </c>
      <c r="B64" s="3" t="s">
        <v>42</v>
      </c>
      <c r="C64" s="3" t="s">
        <v>23</v>
      </c>
      <c r="D64" s="3" t="s">
        <v>43</v>
      </c>
      <c r="E64" s="3" t="s">
        <v>51</v>
      </c>
      <c r="F64" s="3" t="s">
        <v>52</v>
      </c>
      <c r="G64" s="3" t="s">
        <v>25</v>
      </c>
      <c r="H64" s="3" t="s">
        <v>25</v>
      </c>
      <c r="I64" s="6">
        <v>44562</v>
      </c>
      <c r="J64" s="4">
        <v>0</v>
      </c>
      <c r="K64" s="4">
        <v>0</v>
      </c>
      <c r="L64" s="4">
        <v>-3.2789999999999999</v>
      </c>
      <c r="M64" s="4">
        <v>-3.2789999999999999</v>
      </c>
      <c r="N64" s="4">
        <v>-3.2789999999999999</v>
      </c>
      <c r="O64" s="4">
        <v>-3.2789999999999999</v>
      </c>
      <c r="P64" s="4">
        <v>0</v>
      </c>
      <c r="Q64" s="3" t="s">
        <v>26</v>
      </c>
      <c r="R64" s="3">
        <v>0</v>
      </c>
      <c r="S64" s="3">
        <v>0</v>
      </c>
      <c r="T64" s="3">
        <v>31</v>
      </c>
      <c r="U64" s="3">
        <v>69</v>
      </c>
      <c r="V64" s="4">
        <f>IF(ISERROR(VLOOKUP($S$64,'TAR FIN'!$A$1:$O$88,15,0)),0,VLOOKUP($S$64,'TAR FIN'!$A$1:$O$88,15,0))</f>
        <v>0</v>
      </c>
      <c r="W64" s="4">
        <f>IF(ISERROR(VLOOKUP($T$64,'TAR FIN'!$A$1:$O$88,15,0)),0,VLOOKUP($T$64,'TAR FIN'!$A$1:$O$88,15,0))</f>
        <v>269.45</v>
      </c>
      <c r="X64" s="4">
        <f>IF(ISERROR(VLOOKUP($U$64,'TAR FIN'!$A$1:$O$88,15,0)),0,VLOOKUP($U$64,'TAR FIN'!$A$1:$O$88,15,0))</f>
        <v>213.27</v>
      </c>
      <c r="Y64" s="4"/>
      <c r="Z64" s="4">
        <f ca="1">('TUSD BE'!$AM$33+'TUSD BF'!$AM$33+'TUSD CVA'!$AM$33)*(1-CUSTOS!$M$38)</f>
        <v>421.14033355107131</v>
      </c>
      <c r="AA64" s="4">
        <f>('TE BE'!$AB$23+'TE BF'!$AB$23+'TE CVA'!$AB$23)*(1-CUSTOS!$M$38)</f>
        <v>179.54706321936715</v>
      </c>
      <c r="AB64" s="4">
        <f t="shared" si="4"/>
        <v>0</v>
      </c>
      <c r="AC64" s="4">
        <f>(L64-M64)*(W64+X64)+($W$2+$X$2-$W$64-$X$64)*(L64)</f>
        <v>-215.82377999999989</v>
      </c>
      <c r="AD64" s="4">
        <f t="shared" si="5"/>
        <v>0</v>
      </c>
      <c r="AE64" s="4">
        <f ca="1">(L64-M64)*(Z64+AA64)+($Z$2+$AA$2-$Z$64-$AA$64)*(L64)</f>
        <v>-125.72259408576191</v>
      </c>
      <c r="AF64" s="3" t="s">
        <v>625</v>
      </c>
    </row>
    <row r="65" spans="1:32" ht="11.25" customHeight="1" x14ac:dyDescent="0.3">
      <c r="A65" s="3" t="s">
        <v>28</v>
      </c>
      <c r="B65" s="3" t="s">
        <v>42</v>
      </c>
      <c r="C65" s="3" t="s">
        <v>23</v>
      </c>
      <c r="D65" s="3" t="s">
        <v>43</v>
      </c>
      <c r="E65" s="3" t="s">
        <v>51</v>
      </c>
      <c r="F65" s="3" t="s">
        <v>52</v>
      </c>
      <c r="G65" s="3" t="s">
        <v>25</v>
      </c>
      <c r="H65" s="3" t="s">
        <v>25</v>
      </c>
      <c r="I65" s="6">
        <v>44562</v>
      </c>
      <c r="J65" s="4">
        <v>0</v>
      </c>
      <c r="K65" s="4">
        <v>0</v>
      </c>
      <c r="L65" s="4">
        <v>0.376</v>
      </c>
      <c r="M65" s="4">
        <v>0.376</v>
      </c>
      <c r="N65" s="4">
        <v>0.376</v>
      </c>
      <c r="O65" s="4">
        <v>0.376</v>
      </c>
      <c r="P65" s="4">
        <v>0</v>
      </c>
      <c r="Q65" s="3" t="s">
        <v>26</v>
      </c>
      <c r="R65" s="3">
        <v>0</v>
      </c>
      <c r="S65" s="3">
        <v>0</v>
      </c>
      <c r="T65" s="3">
        <v>31</v>
      </c>
      <c r="U65" s="3">
        <v>69</v>
      </c>
      <c r="V65" s="4">
        <f>IF(ISERROR(VLOOKUP($S$65,'TAR FIN'!$A$1:$O$88,15,0)),0,VLOOKUP($S$65,'TAR FIN'!$A$1:$O$88,15,0))</f>
        <v>0</v>
      </c>
      <c r="W65" s="4">
        <f>IF(ISERROR(VLOOKUP($T$65,'TAR FIN'!$A$1:$O$88,15,0)),0,VLOOKUP($T$65,'TAR FIN'!$A$1:$O$88,15,0))</f>
        <v>269.45</v>
      </c>
      <c r="X65" s="4">
        <f>IF(ISERROR(VLOOKUP($U$65,'TAR FIN'!$A$1:$O$88,15,0)),0,VLOOKUP($U$65,'TAR FIN'!$A$1:$O$88,15,0))</f>
        <v>213.27</v>
      </c>
      <c r="Y65" s="4"/>
      <c r="Z65" s="4">
        <f ca="1">('TUSD BE'!$AM$33+'TUSD BF'!$AM$33+'TUSD CVA'!$AM$33)*(1-CUSTOS!$M$38)</f>
        <v>421.14033355107131</v>
      </c>
      <c r="AA65" s="4">
        <f>('TE BE'!$AB$23+'TE BF'!$AB$23+'TE CVA'!$AB$23)*(1-CUSTOS!$M$38)</f>
        <v>179.54706321936715</v>
      </c>
      <c r="AB65" s="4">
        <f t="shared" si="4"/>
        <v>0</v>
      </c>
      <c r="AC65" s="4">
        <f>(L65-M65)*(W65+X65)+($W$2+$X$2-$W$65-$X$65)*(L65)</f>
        <v>24.748319999999985</v>
      </c>
      <c r="AD65" s="4">
        <f t="shared" si="5"/>
        <v>0</v>
      </c>
      <c r="AE65" s="4">
        <f ca="1">(L65-M65)*(Z65+AA65)+($Z$2+$AA$2-$Z$65-$AA$65)*(L65)</f>
        <v>14.416497522490539</v>
      </c>
      <c r="AF65" s="3" t="s">
        <v>625</v>
      </c>
    </row>
    <row r="66" spans="1:32" ht="11.25" customHeight="1" x14ac:dyDescent="0.3">
      <c r="A66" s="3" t="s">
        <v>21</v>
      </c>
      <c r="B66" s="3" t="s">
        <v>42</v>
      </c>
      <c r="C66" s="3" t="s">
        <v>23</v>
      </c>
      <c r="D66" s="3" t="s">
        <v>43</v>
      </c>
      <c r="E66" s="3" t="s">
        <v>51</v>
      </c>
      <c r="F66" s="3" t="s">
        <v>52</v>
      </c>
      <c r="G66" s="3" t="s">
        <v>25</v>
      </c>
      <c r="H66" s="3" t="s">
        <v>25</v>
      </c>
      <c r="I66" s="6">
        <v>44593</v>
      </c>
      <c r="J66" s="4">
        <v>0</v>
      </c>
      <c r="K66" s="4">
        <v>0</v>
      </c>
      <c r="L66" s="4">
        <v>6.173</v>
      </c>
      <c r="M66" s="4">
        <v>6.173</v>
      </c>
      <c r="N66" s="4">
        <v>6.173</v>
      </c>
      <c r="O66" s="4">
        <v>6.173</v>
      </c>
      <c r="P66" s="4">
        <v>0</v>
      </c>
      <c r="Q66" s="3" t="s">
        <v>26</v>
      </c>
      <c r="R66" s="3">
        <v>0</v>
      </c>
      <c r="S66" s="3">
        <v>0</v>
      </c>
      <c r="T66" s="3">
        <v>31</v>
      </c>
      <c r="U66" s="3">
        <v>69</v>
      </c>
      <c r="V66" s="4">
        <f>IF(ISERROR(VLOOKUP($S$66,'TAR FIN'!$A$1:$O$88,15,0)),0,VLOOKUP($S$66,'TAR FIN'!$A$1:$O$88,15,0))</f>
        <v>0</v>
      </c>
      <c r="W66" s="4">
        <f>IF(ISERROR(VLOOKUP($T$66,'TAR FIN'!$A$1:$O$88,15,0)),0,VLOOKUP($T$66,'TAR FIN'!$A$1:$O$88,15,0))</f>
        <v>269.45</v>
      </c>
      <c r="X66" s="4">
        <f>IF(ISERROR(VLOOKUP($U$66,'TAR FIN'!$A$1:$O$88,15,0)),0,VLOOKUP($U$66,'TAR FIN'!$A$1:$O$88,15,0))</f>
        <v>213.27</v>
      </c>
      <c r="Y66" s="4"/>
      <c r="Z66" s="4">
        <f ca="1">('TUSD BE'!$AM$33+'TUSD BF'!$AM$33+'TUSD CVA'!$AM$33)*(1-CUSTOS!$M$38)</f>
        <v>421.14033355107131</v>
      </c>
      <c r="AA66" s="4">
        <f>('TE BE'!$AB$23+'TE BF'!$AB$23+'TE CVA'!$AB$23)*(1-CUSTOS!$M$38)</f>
        <v>179.54706321936715</v>
      </c>
      <c r="AB66" s="4">
        <f t="shared" ref="AB66:AB97" si="6">(J66-K66)*V66</f>
        <v>0</v>
      </c>
      <c r="AC66" s="4">
        <f>(L66-M66)*(W66+X66)+($W$2+$X$2-$W$66-$X$66)*(L66)</f>
        <v>406.3068599999998</v>
      </c>
      <c r="AD66" s="4">
        <f t="shared" ref="AD66:AD97" si="7">(J66-K66)*Y66</f>
        <v>0</v>
      </c>
      <c r="AE66" s="4">
        <f ca="1">(L66-M66)*(Z66+AA66)+($Z$2+$AA$2-$Z$66-$AA$66)*(L66)</f>
        <v>236.68361491046304</v>
      </c>
      <c r="AF66" s="3" t="s">
        <v>625</v>
      </c>
    </row>
    <row r="67" spans="1:32" ht="11.25" customHeight="1" x14ac:dyDescent="0.3">
      <c r="A67" s="3" t="s">
        <v>28</v>
      </c>
      <c r="B67" s="3" t="s">
        <v>42</v>
      </c>
      <c r="C67" s="3" t="s">
        <v>23</v>
      </c>
      <c r="D67" s="3" t="s">
        <v>43</v>
      </c>
      <c r="E67" s="3" t="s">
        <v>51</v>
      </c>
      <c r="F67" s="3" t="s">
        <v>52</v>
      </c>
      <c r="G67" s="3" t="s">
        <v>25</v>
      </c>
      <c r="H67" s="3" t="s">
        <v>25</v>
      </c>
      <c r="I67" s="6">
        <v>44593</v>
      </c>
      <c r="J67" s="4">
        <v>0</v>
      </c>
      <c r="K67" s="4">
        <v>0</v>
      </c>
      <c r="L67" s="4">
        <v>0.16200000000000001</v>
      </c>
      <c r="M67" s="4">
        <v>0.16200000000000001</v>
      </c>
      <c r="N67" s="4">
        <v>0.16200000000000001</v>
      </c>
      <c r="O67" s="4">
        <v>0.16200000000000001</v>
      </c>
      <c r="P67" s="4">
        <v>0</v>
      </c>
      <c r="Q67" s="3" t="s">
        <v>26</v>
      </c>
      <c r="R67" s="3">
        <v>0</v>
      </c>
      <c r="S67" s="3">
        <v>0</v>
      </c>
      <c r="T67" s="3">
        <v>31</v>
      </c>
      <c r="U67" s="3">
        <v>69</v>
      </c>
      <c r="V67" s="4">
        <f>IF(ISERROR(VLOOKUP($S$67,'TAR FIN'!$A$1:$O$88,15,0)),0,VLOOKUP($S$67,'TAR FIN'!$A$1:$O$88,15,0))</f>
        <v>0</v>
      </c>
      <c r="W67" s="4">
        <f>IF(ISERROR(VLOOKUP($T$67,'TAR FIN'!$A$1:$O$88,15,0)),0,VLOOKUP($T$67,'TAR FIN'!$A$1:$O$88,15,0))</f>
        <v>269.45</v>
      </c>
      <c r="X67" s="4">
        <f>IF(ISERROR(VLOOKUP($U$67,'TAR FIN'!$A$1:$O$88,15,0)),0,VLOOKUP($U$67,'TAR FIN'!$A$1:$O$88,15,0))</f>
        <v>213.27</v>
      </c>
      <c r="Y67" s="4"/>
      <c r="Z67" s="4">
        <f ca="1">('TUSD BE'!$AM$33+'TUSD BF'!$AM$33+'TUSD CVA'!$AM$33)*(1-CUSTOS!$M$38)</f>
        <v>421.14033355107131</v>
      </c>
      <c r="AA67" s="4">
        <f>('TE BE'!$AB$23+'TE BF'!$AB$23+'TE CVA'!$AB$23)*(1-CUSTOS!$M$38)</f>
        <v>179.54706321936715</v>
      </c>
      <c r="AB67" s="4">
        <f t="shared" si="6"/>
        <v>0</v>
      </c>
      <c r="AC67" s="4">
        <f>(L67-M67)*(W67+X67)+($W$2+$X$2-$W$67-$X$67)*(L67)</f>
        <v>10.662839999999994</v>
      </c>
      <c r="AD67" s="4">
        <f t="shared" si="7"/>
        <v>0</v>
      </c>
      <c r="AE67" s="4">
        <f ca="1">(L67-M67)*(Z67+AA67)+($Z$2+$AA$2-$Z$67-$AA$67)*(L67)</f>
        <v>6.2113632942645411</v>
      </c>
      <c r="AF67" s="3" t="s">
        <v>625</v>
      </c>
    </row>
    <row r="68" spans="1:32" ht="11.25" customHeight="1" x14ac:dyDescent="0.3">
      <c r="A68" s="3" t="s">
        <v>21</v>
      </c>
      <c r="B68" s="3" t="s">
        <v>42</v>
      </c>
      <c r="C68" s="3" t="s">
        <v>23</v>
      </c>
      <c r="D68" s="3" t="s">
        <v>43</v>
      </c>
      <c r="E68" s="3" t="s">
        <v>51</v>
      </c>
      <c r="F68" s="3" t="s">
        <v>52</v>
      </c>
      <c r="G68" s="3" t="s">
        <v>25</v>
      </c>
      <c r="H68" s="3" t="s">
        <v>25</v>
      </c>
      <c r="I68" s="6">
        <v>44621</v>
      </c>
      <c r="J68" s="4">
        <v>0</v>
      </c>
      <c r="K68" s="4">
        <v>0</v>
      </c>
      <c r="L68" s="4">
        <v>2.0369999999999999</v>
      </c>
      <c r="M68" s="4">
        <v>2.0369999999999999</v>
      </c>
      <c r="N68" s="4">
        <v>2.0369999999999999</v>
      </c>
      <c r="O68" s="4">
        <v>2.0369999999999999</v>
      </c>
      <c r="P68" s="4">
        <v>0</v>
      </c>
      <c r="Q68" s="3" t="s">
        <v>26</v>
      </c>
      <c r="R68" s="3">
        <v>0</v>
      </c>
      <c r="S68" s="3">
        <v>0</v>
      </c>
      <c r="T68" s="3">
        <v>31</v>
      </c>
      <c r="U68" s="3">
        <v>69</v>
      </c>
      <c r="V68" s="4">
        <f>IF(ISERROR(VLOOKUP($S$68,'TAR FIN'!$A$1:$O$88,15,0)),0,VLOOKUP($S$68,'TAR FIN'!$A$1:$O$88,15,0))</f>
        <v>0</v>
      </c>
      <c r="W68" s="4">
        <f>IF(ISERROR(VLOOKUP($T$68,'TAR FIN'!$A$1:$O$88,15,0)),0,VLOOKUP($T$68,'TAR FIN'!$A$1:$O$88,15,0))</f>
        <v>269.45</v>
      </c>
      <c r="X68" s="4">
        <f>IF(ISERROR(VLOOKUP($U$68,'TAR FIN'!$A$1:$O$88,15,0)),0,VLOOKUP($U$68,'TAR FIN'!$A$1:$O$88,15,0))</f>
        <v>213.27</v>
      </c>
      <c r="Y68" s="4"/>
      <c r="Z68" s="4">
        <f ca="1">('TUSD BE'!$AM$33+'TUSD BF'!$AM$33+'TUSD CVA'!$AM$33)*(1-CUSTOS!$M$38)</f>
        <v>421.14033355107131</v>
      </c>
      <c r="AA68" s="4">
        <f>('TE BE'!$AB$23+'TE BF'!$AB$23+'TE CVA'!$AB$23)*(1-CUSTOS!$M$38)</f>
        <v>179.54706321936715</v>
      </c>
      <c r="AB68" s="4">
        <f t="shared" si="6"/>
        <v>0</v>
      </c>
      <c r="AC68" s="4">
        <f>(L68-M68)*(W68+X68)+($W$2+$X$2-$W$68-$X$68)*(L68)</f>
        <v>134.07533999999993</v>
      </c>
      <c r="AD68" s="4">
        <f t="shared" si="7"/>
        <v>0</v>
      </c>
      <c r="AE68" s="4">
        <f ca="1">(L68-M68)*(Z68+AA68)+($Z$2+$AA$2-$Z$68-$AA$68)*(L68)</f>
        <v>78.1021421630671</v>
      </c>
      <c r="AF68" s="3" t="s">
        <v>625</v>
      </c>
    </row>
    <row r="69" spans="1:32" ht="11.25" customHeight="1" x14ac:dyDescent="0.3">
      <c r="A69" s="3" t="s">
        <v>28</v>
      </c>
      <c r="B69" s="3" t="s">
        <v>42</v>
      </c>
      <c r="C69" s="3" t="s">
        <v>23</v>
      </c>
      <c r="D69" s="3" t="s">
        <v>43</v>
      </c>
      <c r="E69" s="3" t="s">
        <v>51</v>
      </c>
      <c r="F69" s="3" t="s">
        <v>52</v>
      </c>
      <c r="G69" s="3" t="s">
        <v>25</v>
      </c>
      <c r="H69" s="3" t="s">
        <v>25</v>
      </c>
      <c r="I69" s="6">
        <v>44621</v>
      </c>
      <c r="J69" s="4">
        <v>0</v>
      </c>
      <c r="K69" s="4">
        <v>0</v>
      </c>
      <c r="L69" s="4">
        <v>0.05</v>
      </c>
      <c r="M69" s="4">
        <v>0.05</v>
      </c>
      <c r="N69" s="4">
        <v>0.05</v>
      </c>
      <c r="O69" s="4">
        <v>0.05</v>
      </c>
      <c r="P69" s="4">
        <v>0</v>
      </c>
      <c r="Q69" s="3" t="s">
        <v>26</v>
      </c>
      <c r="R69" s="3">
        <v>0</v>
      </c>
      <c r="S69" s="3">
        <v>0</v>
      </c>
      <c r="T69" s="3">
        <v>31</v>
      </c>
      <c r="U69" s="3">
        <v>69</v>
      </c>
      <c r="V69" s="4">
        <f>IF(ISERROR(VLOOKUP($S$69,'TAR FIN'!$A$1:$O$88,15,0)),0,VLOOKUP($S$69,'TAR FIN'!$A$1:$O$88,15,0))</f>
        <v>0</v>
      </c>
      <c r="W69" s="4">
        <f>IF(ISERROR(VLOOKUP($T$69,'TAR FIN'!$A$1:$O$88,15,0)),0,VLOOKUP($T$69,'TAR FIN'!$A$1:$O$88,15,0))</f>
        <v>269.45</v>
      </c>
      <c r="X69" s="4">
        <f>IF(ISERROR(VLOOKUP($U$69,'TAR FIN'!$A$1:$O$88,15,0)),0,VLOOKUP($U$69,'TAR FIN'!$A$1:$O$88,15,0))</f>
        <v>213.27</v>
      </c>
      <c r="Y69" s="4"/>
      <c r="Z69" s="4">
        <f ca="1">('TUSD BE'!$AM$33+'TUSD BF'!$AM$33+'TUSD CVA'!$AM$33)*(1-CUSTOS!$M$38)</f>
        <v>421.14033355107131</v>
      </c>
      <c r="AA69" s="4">
        <f>('TE BE'!$AB$23+'TE BF'!$AB$23+'TE CVA'!$AB$23)*(1-CUSTOS!$M$38)</f>
        <v>179.54706321936715</v>
      </c>
      <c r="AB69" s="4">
        <f t="shared" si="6"/>
        <v>0</v>
      </c>
      <c r="AC69" s="4">
        <f>(L69-M69)*(W69+X69)+($W$2+$X$2-$W$69-$X$69)*(L69)</f>
        <v>3.2909999999999986</v>
      </c>
      <c r="AD69" s="4">
        <f t="shared" si="7"/>
        <v>0</v>
      </c>
      <c r="AE69" s="4">
        <f ca="1">(L69-M69)*(Z69+AA69)+($Z$2+$AA$2-$Z$69-$AA$69)*(L69)</f>
        <v>1.9170874365014017</v>
      </c>
      <c r="AF69" s="3" t="s">
        <v>625</v>
      </c>
    </row>
    <row r="70" spans="1:32" ht="11.25" customHeight="1" x14ac:dyDescent="0.3">
      <c r="A70" s="3" t="s">
        <v>21</v>
      </c>
      <c r="B70" s="3" t="s">
        <v>42</v>
      </c>
      <c r="C70" s="3" t="s">
        <v>23</v>
      </c>
      <c r="D70" s="3" t="s">
        <v>43</v>
      </c>
      <c r="E70" s="3" t="s">
        <v>51</v>
      </c>
      <c r="F70" s="3" t="s">
        <v>52</v>
      </c>
      <c r="G70" s="3" t="s">
        <v>25</v>
      </c>
      <c r="H70" s="3" t="s">
        <v>25</v>
      </c>
      <c r="I70" s="6">
        <v>44652</v>
      </c>
      <c r="J70" s="4">
        <v>0</v>
      </c>
      <c r="K70" s="4">
        <v>0</v>
      </c>
      <c r="L70" s="4">
        <v>0.86</v>
      </c>
      <c r="M70" s="4">
        <v>0.86</v>
      </c>
      <c r="N70" s="4">
        <v>0.86</v>
      </c>
      <c r="O70" s="4">
        <v>0.86</v>
      </c>
      <c r="P70" s="4">
        <v>0</v>
      </c>
      <c r="Q70" s="3" t="s">
        <v>26</v>
      </c>
      <c r="R70" s="3">
        <v>0</v>
      </c>
      <c r="S70" s="3">
        <v>0</v>
      </c>
      <c r="T70" s="3">
        <v>31</v>
      </c>
      <c r="U70" s="3">
        <v>69</v>
      </c>
      <c r="V70" s="4">
        <f>IF(ISERROR(VLOOKUP($S$70,'TAR FIN'!$A$1:$O$88,15,0)),0,VLOOKUP($S$70,'TAR FIN'!$A$1:$O$88,15,0))</f>
        <v>0</v>
      </c>
      <c r="W70" s="4">
        <f>IF(ISERROR(VLOOKUP($T$70,'TAR FIN'!$A$1:$O$88,15,0)),0,VLOOKUP($T$70,'TAR FIN'!$A$1:$O$88,15,0))</f>
        <v>269.45</v>
      </c>
      <c r="X70" s="4">
        <f>IF(ISERROR(VLOOKUP($U$70,'TAR FIN'!$A$1:$O$88,15,0)),0,VLOOKUP($U$70,'TAR FIN'!$A$1:$O$88,15,0))</f>
        <v>213.27</v>
      </c>
      <c r="Y70" s="4"/>
      <c r="Z70" s="4">
        <f ca="1">('TUSD BE'!$AM$33+'TUSD BF'!$AM$33+'TUSD CVA'!$AM$33)*(1-CUSTOS!$M$38)</f>
        <v>421.14033355107131</v>
      </c>
      <c r="AA70" s="4">
        <f>('TE BE'!$AB$23+'TE BF'!$AB$23+'TE CVA'!$AB$23)*(1-CUSTOS!$M$38)</f>
        <v>179.54706321936715</v>
      </c>
      <c r="AB70" s="4">
        <f t="shared" si="6"/>
        <v>0</v>
      </c>
      <c r="AC70" s="4">
        <f>(L70-M70)*(W70+X70)+($W$2+$X$2-$W$70-$X$70)*(L70)</f>
        <v>56.605199999999968</v>
      </c>
      <c r="AD70" s="4">
        <f t="shared" si="7"/>
        <v>0</v>
      </c>
      <c r="AE70" s="4">
        <f ca="1">(L70-M70)*(Z70+AA70)+($Z$2+$AA$2-$Z$70-$AA$70)*(L70)</f>
        <v>32.973903907824102</v>
      </c>
      <c r="AF70" s="3" t="s">
        <v>625</v>
      </c>
    </row>
    <row r="71" spans="1:32" ht="11.25" customHeight="1" x14ac:dyDescent="0.3">
      <c r="A71" s="3" t="s">
        <v>27</v>
      </c>
      <c r="B71" s="3" t="s">
        <v>42</v>
      </c>
      <c r="C71" s="3" t="s">
        <v>23</v>
      </c>
      <c r="D71" s="3" t="s">
        <v>43</v>
      </c>
      <c r="E71" s="3" t="s">
        <v>51</v>
      </c>
      <c r="F71" s="3" t="s">
        <v>52</v>
      </c>
      <c r="G71" s="3" t="s">
        <v>25</v>
      </c>
      <c r="H71" s="3" t="s">
        <v>25</v>
      </c>
      <c r="I71" s="6">
        <v>44652</v>
      </c>
      <c r="J71" s="4">
        <v>0</v>
      </c>
      <c r="K71" s="4">
        <v>0</v>
      </c>
      <c r="L71" s="4">
        <v>-0.65700000000000003</v>
      </c>
      <c r="M71" s="4">
        <v>-0.65700000000000003</v>
      </c>
      <c r="N71" s="4">
        <v>-0.65700000000000003</v>
      </c>
      <c r="O71" s="4">
        <v>-0.65700000000000003</v>
      </c>
      <c r="P71" s="4">
        <v>0</v>
      </c>
      <c r="Q71" s="3" t="s">
        <v>26</v>
      </c>
      <c r="R71" s="3">
        <v>0</v>
      </c>
      <c r="S71" s="3">
        <v>0</v>
      </c>
      <c r="T71" s="3">
        <v>31</v>
      </c>
      <c r="U71" s="3">
        <v>69</v>
      </c>
      <c r="V71" s="4">
        <f>IF(ISERROR(VLOOKUP($S$71,'TAR FIN'!$A$1:$O$88,15,0)),0,VLOOKUP($S$71,'TAR FIN'!$A$1:$O$88,15,0))</f>
        <v>0</v>
      </c>
      <c r="W71" s="4">
        <f>IF(ISERROR(VLOOKUP($T$71,'TAR FIN'!$A$1:$O$88,15,0)),0,VLOOKUP($T$71,'TAR FIN'!$A$1:$O$88,15,0))</f>
        <v>269.45</v>
      </c>
      <c r="X71" s="4">
        <f>IF(ISERROR(VLOOKUP($U$71,'TAR FIN'!$A$1:$O$88,15,0)),0,VLOOKUP($U$71,'TAR FIN'!$A$1:$O$88,15,0))</f>
        <v>213.27</v>
      </c>
      <c r="Y71" s="4"/>
      <c r="Z71" s="4">
        <f ca="1">('TUSD BE'!$AM$33+'TUSD BF'!$AM$33+'TUSD CVA'!$AM$33)*(1-CUSTOS!$M$38)</f>
        <v>421.14033355107131</v>
      </c>
      <c r="AA71" s="4">
        <f>('TE BE'!$AB$23+'TE BF'!$AB$23+'TE CVA'!$AB$23)*(1-CUSTOS!$M$38)</f>
        <v>179.54706321936715</v>
      </c>
      <c r="AB71" s="4">
        <f t="shared" si="6"/>
        <v>0</v>
      </c>
      <c r="AC71" s="4">
        <f>(L71-M71)*(W71+X71)+($W$2+$X$2-$W$71-$X$71)*(L71)</f>
        <v>-43.243739999999981</v>
      </c>
      <c r="AD71" s="4">
        <f t="shared" si="7"/>
        <v>0</v>
      </c>
      <c r="AE71" s="4">
        <f ca="1">(L71-M71)*(Z71+AA71)+($Z$2+$AA$2-$Z$71-$AA$71)*(L71)</f>
        <v>-25.190528915628416</v>
      </c>
      <c r="AF71" s="3" t="s">
        <v>625</v>
      </c>
    </row>
    <row r="72" spans="1:32" ht="11.25" customHeight="1" x14ac:dyDescent="0.3">
      <c r="A72" s="3" t="s">
        <v>21</v>
      </c>
      <c r="B72" s="3" t="s">
        <v>42</v>
      </c>
      <c r="C72" s="3" t="s">
        <v>23</v>
      </c>
      <c r="D72" s="3" t="s">
        <v>43</v>
      </c>
      <c r="E72" s="3" t="s">
        <v>51</v>
      </c>
      <c r="F72" s="3" t="s">
        <v>52</v>
      </c>
      <c r="G72" s="3" t="s">
        <v>25</v>
      </c>
      <c r="H72" s="3" t="s">
        <v>25</v>
      </c>
      <c r="I72" s="6">
        <v>44682</v>
      </c>
      <c r="J72" s="4">
        <v>0</v>
      </c>
      <c r="K72" s="4">
        <v>0</v>
      </c>
      <c r="L72" s="4">
        <v>0.57999999999999996</v>
      </c>
      <c r="M72" s="4">
        <v>0.57999999999999996</v>
      </c>
      <c r="N72" s="4">
        <v>0.57999999999999996</v>
      </c>
      <c r="O72" s="4">
        <v>0.57999999999999996</v>
      </c>
      <c r="P72" s="4">
        <v>0</v>
      </c>
      <c r="Q72" s="3" t="s">
        <v>26</v>
      </c>
      <c r="R72" s="3">
        <v>0</v>
      </c>
      <c r="S72" s="3">
        <v>0</v>
      </c>
      <c r="T72" s="3">
        <v>31</v>
      </c>
      <c r="U72" s="3">
        <v>69</v>
      </c>
      <c r="V72" s="4">
        <f>IF(ISERROR(VLOOKUP($S$72,'TAR FIN'!$A$1:$O$88,15,0)),0,VLOOKUP($S$72,'TAR FIN'!$A$1:$O$88,15,0))</f>
        <v>0</v>
      </c>
      <c r="W72" s="4">
        <f>IF(ISERROR(VLOOKUP($T$72,'TAR FIN'!$A$1:$O$88,15,0)),0,VLOOKUP($T$72,'TAR FIN'!$A$1:$O$88,15,0))</f>
        <v>269.45</v>
      </c>
      <c r="X72" s="4">
        <f>IF(ISERROR(VLOOKUP($U$72,'TAR FIN'!$A$1:$O$88,15,0)),0,VLOOKUP($U$72,'TAR FIN'!$A$1:$O$88,15,0))</f>
        <v>213.27</v>
      </c>
      <c r="Y72" s="4"/>
      <c r="Z72" s="4">
        <f ca="1">('TUSD BE'!$AM$33+'TUSD BF'!$AM$33+'TUSD CVA'!$AM$33)*(1-CUSTOS!$M$38)</f>
        <v>421.14033355107131</v>
      </c>
      <c r="AA72" s="4">
        <f>('TE BE'!$AB$23+'TE BF'!$AB$23+'TE CVA'!$AB$23)*(1-CUSTOS!$M$38)</f>
        <v>179.54706321936715</v>
      </c>
      <c r="AB72" s="4">
        <f t="shared" si="6"/>
        <v>0</v>
      </c>
      <c r="AC72" s="4">
        <f>(L72-M72)*(W72+X72)+($W$2+$X$2-$W$72-$X$72)*(L72)</f>
        <v>38.175599999999974</v>
      </c>
      <c r="AD72" s="4">
        <f t="shared" si="7"/>
        <v>0</v>
      </c>
      <c r="AE72" s="4">
        <f ca="1">(L72-M72)*(Z72+AA72)+($Z$2+$AA$2-$Z$72-$AA$72)*(L72)</f>
        <v>22.238214263416257</v>
      </c>
      <c r="AF72" s="3" t="s">
        <v>625</v>
      </c>
    </row>
    <row r="73" spans="1:32" ht="11.25" customHeight="1" x14ac:dyDescent="0.3">
      <c r="A73" s="3" t="s">
        <v>27</v>
      </c>
      <c r="B73" s="3" t="s">
        <v>42</v>
      </c>
      <c r="C73" s="3" t="s">
        <v>23</v>
      </c>
      <c r="D73" s="3" t="s">
        <v>43</v>
      </c>
      <c r="E73" s="3" t="s">
        <v>51</v>
      </c>
      <c r="F73" s="3" t="s">
        <v>52</v>
      </c>
      <c r="G73" s="3" t="s">
        <v>25</v>
      </c>
      <c r="H73" s="3" t="s">
        <v>25</v>
      </c>
      <c r="I73" s="6">
        <v>44682</v>
      </c>
      <c r="J73" s="4">
        <v>0</v>
      </c>
      <c r="K73" s="4">
        <v>0</v>
      </c>
      <c r="L73" s="4">
        <v>-9.4E-2</v>
      </c>
      <c r="M73" s="4">
        <v>-9.4E-2</v>
      </c>
      <c r="N73" s="4">
        <v>-9.4E-2</v>
      </c>
      <c r="O73" s="4">
        <v>-9.4E-2</v>
      </c>
      <c r="P73" s="4">
        <v>0</v>
      </c>
      <c r="Q73" s="3" t="s">
        <v>26</v>
      </c>
      <c r="R73" s="3">
        <v>0</v>
      </c>
      <c r="S73" s="3">
        <v>0</v>
      </c>
      <c r="T73" s="3">
        <v>31</v>
      </c>
      <c r="U73" s="3">
        <v>69</v>
      </c>
      <c r="V73" s="4">
        <f>IF(ISERROR(VLOOKUP($S$73,'TAR FIN'!$A$1:$O$88,15,0)),0,VLOOKUP($S$73,'TAR FIN'!$A$1:$O$88,15,0))</f>
        <v>0</v>
      </c>
      <c r="W73" s="4">
        <f>IF(ISERROR(VLOOKUP($T$73,'TAR FIN'!$A$1:$O$88,15,0)),0,VLOOKUP($T$73,'TAR FIN'!$A$1:$O$88,15,0))</f>
        <v>269.45</v>
      </c>
      <c r="X73" s="4">
        <f>IF(ISERROR(VLOOKUP($U$73,'TAR FIN'!$A$1:$O$88,15,0)),0,VLOOKUP($U$73,'TAR FIN'!$A$1:$O$88,15,0))</f>
        <v>213.27</v>
      </c>
      <c r="Y73" s="4"/>
      <c r="Z73" s="4">
        <f ca="1">('TUSD BE'!$AM$33+'TUSD BF'!$AM$33+'TUSD CVA'!$AM$33)*(1-CUSTOS!$M$38)</f>
        <v>421.14033355107131</v>
      </c>
      <c r="AA73" s="4">
        <f>('TE BE'!$AB$23+'TE BF'!$AB$23+'TE CVA'!$AB$23)*(1-CUSTOS!$M$38)</f>
        <v>179.54706321936715</v>
      </c>
      <c r="AB73" s="4">
        <f t="shared" si="6"/>
        <v>0</v>
      </c>
      <c r="AC73" s="4">
        <f>(L73-M73)*(W73+X73)+($W$2+$X$2-$W$73-$X$73)*(L73)</f>
        <v>-6.1870799999999964</v>
      </c>
      <c r="AD73" s="4">
        <f t="shared" si="7"/>
        <v>0</v>
      </c>
      <c r="AE73" s="4">
        <f ca="1">(L73-M73)*(Z73+AA73)+($Z$2+$AA$2-$Z$73-$AA$73)*(L73)</f>
        <v>-3.6041243806226348</v>
      </c>
      <c r="AF73" s="3" t="s">
        <v>625</v>
      </c>
    </row>
    <row r="74" spans="1:32" ht="11.25" customHeight="1" x14ac:dyDescent="0.3">
      <c r="A74" s="3" t="s">
        <v>21</v>
      </c>
      <c r="B74" s="3" t="s">
        <v>42</v>
      </c>
      <c r="C74" s="3" t="s">
        <v>23</v>
      </c>
      <c r="D74" s="3" t="s">
        <v>43</v>
      </c>
      <c r="E74" s="3" t="s">
        <v>51</v>
      </c>
      <c r="F74" s="3" t="s">
        <v>52</v>
      </c>
      <c r="G74" s="3" t="s">
        <v>25</v>
      </c>
      <c r="H74" s="3" t="s">
        <v>25</v>
      </c>
      <c r="I74" s="6">
        <v>44713</v>
      </c>
      <c r="J74" s="4">
        <v>0</v>
      </c>
      <c r="K74" s="4">
        <v>0</v>
      </c>
      <c r="L74" s="4">
        <v>1.6779999999999999</v>
      </c>
      <c r="M74" s="4">
        <v>1.6779999999999999</v>
      </c>
      <c r="N74" s="4">
        <v>1.6779999999999999</v>
      </c>
      <c r="O74" s="4">
        <v>1.6779999999999999</v>
      </c>
      <c r="P74" s="4">
        <v>0</v>
      </c>
      <c r="Q74" s="3" t="s">
        <v>26</v>
      </c>
      <c r="R74" s="3">
        <v>0</v>
      </c>
      <c r="S74" s="3">
        <v>0</v>
      </c>
      <c r="T74" s="3">
        <v>31</v>
      </c>
      <c r="U74" s="3">
        <v>69</v>
      </c>
      <c r="V74" s="4">
        <f>IF(ISERROR(VLOOKUP($S$74,'TAR FIN'!$A$1:$O$88,15,0)),0,VLOOKUP($S$74,'TAR FIN'!$A$1:$O$88,15,0))</f>
        <v>0</v>
      </c>
      <c r="W74" s="4">
        <f>IF(ISERROR(VLOOKUP($T$74,'TAR FIN'!$A$1:$O$88,15,0)),0,VLOOKUP($T$74,'TAR FIN'!$A$1:$O$88,15,0))</f>
        <v>269.45</v>
      </c>
      <c r="X74" s="4">
        <f>IF(ISERROR(VLOOKUP($U$74,'TAR FIN'!$A$1:$O$88,15,0)),0,VLOOKUP($U$74,'TAR FIN'!$A$1:$O$88,15,0))</f>
        <v>213.27</v>
      </c>
      <c r="Y74" s="4"/>
      <c r="Z74" s="4">
        <f ca="1">('TUSD BE'!$AM$33+'TUSD BF'!$AM$33+'TUSD CVA'!$AM$33)*(1-CUSTOS!$M$38)</f>
        <v>421.14033355107131</v>
      </c>
      <c r="AA74" s="4">
        <f>('TE BE'!$AB$23+'TE BF'!$AB$23+'TE CVA'!$AB$23)*(1-CUSTOS!$M$38)</f>
        <v>179.54706321936715</v>
      </c>
      <c r="AB74" s="4">
        <f t="shared" si="6"/>
        <v>0</v>
      </c>
      <c r="AC74" s="4">
        <f>(L74-M74)*(W74+X74)+($W$2+$X$2-$W$74-$X$74)*(L74)</f>
        <v>110.44595999999994</v>
      </c>
      <c r="AD74" s="4">
        <f t="shared" si="7"/>
        <v>0</v>
      </c>
      <c r="AE74" s="4">
        <f ca="1">(L74-M74)*(Z74+AA74)+($Z$2+$AA$2-$Z$74-$AA$74)*(L74)</f>
        <v>64.337454368987025</v>
      </c>
      <c r="AF74" s="3" t="s">
        <v>625</v>
      </c>
    </row>
    <row r="75" spans="1:32" ht="11.25" customHeight="1" x14ac:dyDescent="0.3">
      <c r="A75" s="3" t="s">
        <v>28</v>
      </c>
      <c r="B75" s="3" t="s">
        <v>42</v>
      </c>
      <c r="C75" s="3" t="s">
        <v>23</v>
      </c>
      <c r="D75" s="3" t="s">
        <v>43</v>
      </c>
      <c r="E75" s="3" t="s">
        <v>51</v>
      </c>
      <c r="F75" s="3" t="s">
        <v>52</v>
      </c>
      <c r="G75" s="3" t="s">
        <v>25</v>
      </c>
      <c r="H75" s="3" t="s">
        <v>25</v>
      </c>
      <c r="I75" s="6">
        <v>44713</v>
      </c>
      <c r="J75" s="4">
        <v>0</v>
      </c>
      <c r="K75" s="4">
        <v>0</v>
      </c>
      <c r="L75" s="4">
        <v>7.2999999999999995E-2</v>
      </c>
      <c r="M75" s="4">
        <v>7.2999999999999995E-2</v>
      </c>
      <c r="N75" s="4">
        <v>7.2999999999999995E-2</v>
      </c>
      <c r="O75" s="4">
        <v>7.2999999999999995E-2</v>
      </c>
      <c r="P75" s="4">
        <v>0</v>
      </c>
      <c r="Q75" s="3" t="s">
        <v>26</v>
      </c>
      <c r="R75" s="3">
        <v>0</v>
      </c>
      <c r="S75" s="3">
        <v>0</v>
      </c>
      <c r="T75" s="3">
        <v>31</v>
      </c>
      <c r="U75" s="3">
        <v>69</v>
      </c>
      <c r="V75" s="4">
        <f>IF(ISERROR(VLOOKUP($S$75,'TAR FIN'!$A$1:$O$88,15,0)),0,VLOOKUP($S$75,'TAR FIN'!$A$1:$O$88,15,0))</f>
        <v>0</v>
      </c>
      <c r="W75" s="4">
        <f>IF(ISERROR(VLOOKUP($T$75,'TAR FIN'!$A$1:$O$88,15,0)),0,VLOOKUP($T$75,'TAR FIN'!$A$1:$O$88,15,0))</f>
        <v>269.45</v>
      </c>
      <c r="X75" s="4">
        <f>IF(ISERROR(VLOOKUP($U$75,'TAR FIN'!$A$1:$O$88,15,0)),0,VLOOKUP($U$75,'TAR FIN'!$A$1:$O$88,15,0))</f>
        <v>213.27</v>
      </c>
      <c r="Y75" s="4"/>
      <c r="Z75" s="4">
        <f ca="1">('TUSD BE'!$AM$33+'TUSD BF'!$AM$33+'TUSD CVA'!$AM$33)*(1-CUSTOS!$M$38)</f>
        <v>421.14033355107131</v>
      </c>
      <c r="AA75" s="4">
        <f>('TE BE'!$AB$23+'TE BF'!$AB$23+'TE CVA'!$AB$23)*(1-CUSTOS!$M$38)</f>
        <v>179.54706321936715</v>
      </c>
      <c r="AB75" s="4">
        <f t="shared" si="6"/>
        <v>0</v>
      </c>
      <c r="AC75" s="4">
        <f>(L75-M75)*(W75+X75)+($W$2+$X$2-$W$75-$X$75)*(L75)</f>
        <v>4.804859999999997</v>
      </c>
      <c r="AD75" s="4">
        <f t="shared" si="7"/>
        <v>0</v>
      </c>
      <c r="AE75" s="4">
        <f ca="1">(L75-M75)*(Z75+AA75)+($Z$2+$AA$2-$Z$75-$AA$75)*(L75)</f>
        <v>2.7989476572920462</v>
      </c>
      <c r="AF75" s="3" t="s">
        <v>625</v>
      </c>
    </row>
    <row r="76" spans="1:32" ht="11.25" customHeight="1" x14ac:dyDescent="0.3">
      <c r="A76" s="3" t="s">
        <v>21</v>
      </c>
      <c r="B76" s="3" t="s">
        <v>42</v>
      </c>
      <c r="C76" s="3" t="s">
        <v>23</v>
      </c>
      <c r="D76" s="3" t="s">
        <v>43</v>
      </c>
      <c r="E76" s="3" t="s">
        <v>51</v>
      </c>
      <c r="F76" s="3" t="s">
        <v>52</v>
      </c>
      <c r="G76" s="3" t="s">
        <v>25</v>
      </c>
      <c r="H76" s="3" t="s">
        <v>25</v>
      </c>
      <c r="I76" s="6">
        <v>44743</v>
      </c>
      <c r="J76" s="4">
        <v>0</v>
      </c>
      <c r="K76" s="4">
        <v>0</v>
      </c>
      <c r="L76" s="4">
        <v>1.625</v>
      </c>
      <c r="M76" s="4">
        <v>1.625</v>
      </c>
      <c r="N76" s="4">
        <v>1.625</v>
      </c>
      <c r="O76" s="4">
        <v>1.625</v>
      </c>
      <c r="P76" s="4">
        <v>0</v>
      </c>
      <c r="Q76" s="3" t="s">
        <v>26</v>
      </c>
      <c r="R76" s="3">
        <v>0</v>
      </c>
      <c r="S76" s="3">
        <v>0</v>
      </c>
      <c r="T76" s="3">
        <v>31</v>
      </c>
      <c r="U76" s="3">
        <v>69</v>
      </c>
      <c r="V76" s="4">
        <f>IF(ISERROR(VLOOKUP($S$76,'TAR FIN'!$A$1:$O$88,15,0)),0,VLOOKUP($S$76,'TAR FIN'!$A$1:$O$88,15,0))</f>
        <v>0</v>
      </c>
      <c r="W76" s="4">
        <f>IF(ISERROR(VLOOKUP($T$76,'TAR FIN'!$A$1:$O$88,15,0)),0,VLOOKUP($T$76,'TAR FIN'!$A$1:$O$88,15,0))</f>
        <v>269.45</v>
      </c>
      <c r="X76" s="4">
        <f>IF(ISERROR(VLOOKUP($U$76,'TAR FIN'!$A$1:$O$88,15,0)),0,VLOOKUP($U$76,'TAR FIN'!$A$1:$O$88,15,0))</f>
        <v>213.27</v>
      </c>
      <c r="Y76" s="4"/>
      <c r="Z76" s="4">
        <f ca="1">('TUSD BE'!$AM$33+'TUSD BF'!$AM$33+'TUSD CVA'!$AM$33)*(1-CUSTOS!$M$38)</f>
        <v>421.14033355107131</v>
      </c>
      <c r="AA76" s="4">
        <f>('TE BE'!$AB$23+'TE BF'!$AB$23+'TE CVA'!$AB$23)*(1-CUSTOS!$M$38)</f>
        <v>179.54706321936715</v>
      </c>
      <c r="AB76" s="4">
        <f t="shared" si="6"/>
        <v>0</v>
      </c>
      <c r="AC76" s="4">
        <f>(L76-M76)*(W76+X76)+($W$2+$X$2-$W$76-$X$76)*(L76)</f>
        <v>106.95749999999994</v>
      </c>
      <c r="AD76" s="4">
        <f t="shared" si="7"/>
        <v>0</v>
      </c>
      <c r="AE76" s="4">
        <f ca="1">(L76-M76)*(Z76+AA76)+($Z$2+$AA$2-$Z$76-$AA$76)*(L76)</f>
        <v>62.305341686295549</v>
      </c>
      <c r="AF76" s="3" t="s">
        <v>625</v>
      </c>
    </row>
    <row r="77" spans="1:32" ht="11.25" customHeight="1" x14ac:dyDescent="0.3">
      <c r="A77" s="3" t="s">
        <v>55</v>
      </c>
      <c r="B77" s="3" t="s">
        <v>42</v>
      </c>
      <c r="C77" s="3" t="s">
        <v>23</v>
      </c>
      <c r="D77" s="3" t="s">
        <v>43</v>
      </c>
      <c r="E77" s="3" t="s">
        <v>51</v>
      </c>
      <c r="F77" s="3" t="s">
        <v>52</v>
      </c>
      <c r="G77" s="3" t="s">
        <v>25</v>
      </c>
      <c r="H77" s="3" t="s">
        <v>25</v>
      </c>
      <c r="I77" s="6">
        <v>44774</v>
      </c>
      <c r="J77" s="4">
        <v>0</v>
      </c>
      <c r="K77" s="4">
        <v>0</v>
      </c>
      <c r="L77" s="4">
        <v>1.625</v>
      </c>
      <c r="M77" s="4">
        <v>1.625</v>
      </c>
      <c r="N77" s="4">
        <v>1.625</v>
      </c>
      <c r="O77" s="4">
        <v>1.625</v>
      </c>
      <c r="P77" s="4">
        <v>0</v>
      </c>
      <c r="Q77" s="3" t="s">
        <v>26</v>
      </c>
      <c r="R77" s="3">
        <v>0</v>
      </c>
      <c r="S77" s="3">
        <v>0</v>
      </c>
      <c r="T77" s="3">
        <v>31</v>
      </c>
      <c r="U77" s="3">
        <v>69</v>
      </c>
      <c r="V77" s="4">
        <f>IF(ISERROR(VLOOKUP($S$77,'TAR FIN'!$A$1:$O$88,15,0)),0,VLOOKUP($S$77,'TAR FIN'!$A$1:$O$88,15,0))</f>
        <v>0</v>
      </c>
      <c r="W77" s="4">
        <f>IF(ISERROR(VLOOKUP($T$77,'TAR FIN'!$A$1:$O$88,15,0)),0,VLOOKUP($T$77,'TAR FIN'!$A$1:$O$88,15,0))</f>
        <v>269.45</v>
      </c>
      <c r="X77" s="4">
        <f>IF(ISERROR(VLOOKUP($U$77,'TAR FIN'!$A$1:$O$88,15,0)),0,VLOOKUP($U$77,'TAR FIN'!$A$1:$O$88,15,0))</f>
        <v>213.27</v>
      </c>
      <c r="Y77" s="4"/>
      <c r="Z77" s="4">
        <f ca="1">('TUSD BE'!$AM$33+'TUSD BF'!$AM$33+'TUSD CVA'!$AM$33)*(1-CUSTOS!$M$38)</f>
        <v>421.14033355107131</v>
      </c>
      <c r="AA77" s="4">
        <f>('TE BE'!$AB$23+'TE BF'!$AB$23+'TE CVA'!$AB$23)*(1-CUSTOS!$M$38)</f>
        <v>179.54706321936715</v>
      </c>
      <c r="AB77" s="4">
        <f t="shared" si="6"/>
        <v>0</v>
      </c>
      <c r="AC77" s="4">
        <f>(L77-M77)*(W77+X77)+($W$2+$X$2-$W$77-$X$77)*(L77)</f>
        <v>106.95749999999994</v>
      </c>
      <c r="AD77" s="4">
        <f t="shared" si="7"/>
        <v>0</v>
      </c>
      <c r="AE77" s="4">
        <f ca="1">(L77-M77)*(Z77+AA77)+($Z$2+$AA$2-$Z$77-$AA$77)*(L77)</f>
        <v>62.305341686295549</v>
      </c>
      <c r="AF77" s="3" t="s">
        <v>625</v>
      </c>
    </row>
    <row r="78" spans="1:32" ht="11.25" customHeight="1" x14ac:dyDescent="0.3">
      <c r="A78" s="3" t="s">
        <v>21</v>
      </c>
      <c r="B78" s="3" t="s">
        <v>42</v>
      </c>
      <c r="C78" s="3" t="s">
        <v>23</v>
      </c>
      <c r="D78" s="3" t="s">
        <v>43</v>
      </c>
      <c r="E78" s="3" t="s">
        <v>51</v>
      </c>
      <c r="F78" s="3" t="s">
        <v>53</v>
      </c>
      <c r="G78" s="3" t="s">
        <v>25</v>
      </c>
      <c r="H78" s="3" t="s">
        <v>25</v>
      </c>
      <c r="I78" s="6">
        <v>44440</v>
      </c>
      <c r="J78" s="4">
        <v>0</v>
      </c>
      <c r="K78" s="4">
        <v>0</v>
      </c>
      <c r="L78" s="4">
        <v>6.2990000000000004</v>
      </c>
      <c r="M78" s="4">
        <v>2.5196000000000001</v>
      </c>
      <c r="N78" s="4">
        <v>6.2990000000000004</v>
      </c>
      <c r="O78" s="4">
        <v>2.5196000000000001</v>
      </c>
      <c r="P78" s="4">
        <v>0</v>
      </c>
      <c r="Q78" s="3" t="s">
        <v>26</v>
      </c>
      <c r="R78" s="3">
        <v>0</v>
      </c>
      <c r="S78" s="3">
        <v>0</v>
      </c>
      <c r="T78" s="3">
        <v>31</v>
      </c>
      <c r="U78" s="3">
        <v>69</v>
      </c>
      <c r="V78" s="4">
        <f>IF(ISERROR(VLOOKUP($S$78,'TAR FIN'!$A$1:$O$88,15,0)),0,VLOOKUP($S$78,'TAR FIN'!$A$1:$O$88,15,0))</f>
        <v>0</v>
      </c>
      <c r="W78" s="4">
        <f>IF(ISERROR(VLOOKUP($T$78,'TAR FIN'!$A$1:$O$88,15,0)),0,VLOOKUP($T$78,'TAR FIN'!$A$1:$O$88,15,0))</f>
        <v>269.45</v>
      </c>
      <c r="X78" s="4">
        <f>IF(ISERROR(VLOOKUP($U$78,'TAR FIN'!$A$1:$O$88,15,0)),0,VLOOKUP($U$78,'TAR FIN'!$A$1:$O$88,15,0))</f>
        <v>213.27</v>
      </c>
      <c r="Y78" s="4"/>
      <c r="Z78" s="4">
        <f ca="1">('TUSD BE'!$AM$33+'TUSD BF'!$AM$33+'TUSD CVA'!$AM$33)*(1-CUSTOS!$M$38)</f>
        <v>421.14033355107131</v>
      </c>
      <c r="AA78" s="4">
        <f>('TE BE'!$AB$23+'TE BF'!$AB$23+'TE CVA'!$AB$23)*(1-CUSTOS!$M$38)</f>
        <v>179.54706321936715</v>
      </c>
      <c r="AB78" s="4">
        <f t="shared" si="6"/>
        <v>0</v>
      </c>
      <c r="AC78" s="4">
        <f>(L78-M78)*(W78+X78)+($W$2+$X$2-$W$78-$X$78)*(L78)</f>
        <v>2238.9921480000003</v>
      </c>
      <c r="AD78" s="4">
        <f t="shared" si="7"/>
        <v>0</v>
      </c>
      <c r="AE78" s="4">
        <f ca="1">(L78-M78)*(Z78+AA78)+($Z$2+$AA$2-$Z$78-$AA$78)*(L78)</f>
        <v>2511.7526226046416</v>
      </c>
      <c r="AF78" s="3" t="s">
        <v>626</v>
      </c>
    </row>
    <row r="79" spans="1:32" ht="11.25" customHeight="1" x14ac:dyDescent="0.3">
      <c r="A79" s="3" t="s">
        <v>21</v>
      </c>
      <c r="B79" s="3" t="s">
        <v>42</v>
      </c>
      <c r="C79" s="3" t="s">
        <v>23</v>
      </c>
      <c r="D79" s="3" t="s">
        <v>43</v>
      </c>
      <c r="E79" s="3" t="s">
        <v>51</v>
      </c>
      <c r="F79" s="3" t="s">
        <v>53</v>
      </c>
      <c r="G79" s="3" t="s">
        <v>25</v>
      </c>
      <c r="H79" s="3" t="s">
        <v>25</v>
      </c>
      <c r="I79" s="6">
        <v>44470</v>
      </c>
      <c r="J79" s="4">
        <v>0</v>
      </c>
      <c r="K79" s="4">
        <v>0</v>
      </c>
      <c r="L79" s="4">
        <v>4.2409999999999997</v>
      </c>
      <c r="M79" s="4">
        <v>1.6963999999999999</v>
      </c>
      <c r="N79" s="4">
        <v>4.2409999999999997</v>
      </c>
      <c r="O79" s="4">
        <v>1.6963999999999999</v>
      </c>
      <c r="P79" s="4">
        <v>0</v>
      </c>
      <c r="Q79" s="3" t="s">
        <v>26</v>
      </c>
      <c r="R79" s="3">
        <v>0</v>
      </c>
      <c r="S79" s="3">
        <v>0</v>
      </c>
      <c r="T79" s="3">
        <v>31</v>
      </c>
      <c r="U79" s="3">
        <v>69</v>
      </c>
      <c r="V79" s="4">
        <f>IF(ISERROR(VLOOKUP($S$79,'TAR FIN'!$A$1:$O$88,15,0)),0,VLOOKUP($S$79,'TAR FIN'!$A$1:$O$88,15,0))</f>
        <v>0</v>
      </c>
      <c r="W79" s="4">
        <f>IF(ISERROR(VLOOKUP($T$79,'TAR FIN'!$A$1:$O$88,15,0)),0,VLOOKUP($T$79,'TAR FIN'!$A$1:$O$88,15,0))</f>
        <v>269.45</v>
      </c>
      <c r="X79" s="4">
        <f>IF(ISERROR(VLOOKUP($U$79,'TAR FIN'!$A$1:$O$88,15,0)),0,VLOOKUP($U$79,'TAR FIN'!$A$1:$O$88,15,0))</f>
        <v>213.27</v>
      </c>
      <c r="Y79" s="4"/>
      <c r="Z79" s="4">
        <f ca="1">('TUSD BE'!$AM$33+'TUSD BF'!$AM$33+'TUSD CVA'!$AM$33)*(1-CUSTOS!$M$38)</f>
        <v>421.14033355107131</v>
      </c>
      <c r="AA79" s="4">
        <f>('TE BE'!$AB$23+'TE BF'!$AB$23+'TE CVA'!$AB$23)*(1-CUSTOS!$M$38)</f>
        <v>179.54706321936715</v>
      </c>
      <c r="AB79" s="4">
        <f t="shared" si="6"/>
        <v>0</v>
      </c>
      <c r="AC79" s="4">
        <f>(L79-M79)*(W79+X79)+($W$2+$X$2-$W$79-$X$79)*(L79)</f>
        <v>1507.4719319999999</v>
      </c>
      <c r="AD79" s="4">
        <f t="shared" si="7"/>
        <v>0</v>
      </c>
      <c r="AE79" s="4">
        <f ca="1">(L79-M79)*(Z79+AA79)+($Z$2+$AA$2-$Z$79-$AA$79)*(L79)</f>
        <v>1691.1165061861066</v>
      </c>
      <c r="AF79" s="3" t="s">
        <v>626</v>
      </c>
    </row>
    <row r="80" spans="1:32" ht="11.25" customHeight="1" x14ac:dyDescent="0.3">
      <c r="A80" s="3" t="s">
        <v>21</v>
      </c>
      <c r="B80" s="3" t="s">
        <v>42</v>
      </c>
      <c r="C80" s="3" t="s">
        <v>23</v>
      </c>
      <c r="D80" s="3" t="s">
        <v>43</v>
      </c>
      <c r="E80" s="3" t="s">
        <v>51</v>
      </c>
      <c r="F80" s="3" t="s">
        <v>53</v>
      </c>
      <c r="G80" s="3" t="s">
        <v>25</v>
      </c>
      <c r="H80" s="3" t="s">
        <v>25</v>
      </c>
      <c r="I80" s="6">
        <v>44501</v>
      </c>
      <c r="J80" s="4">
        <v>0</v>
      </c>
      <c r="K80" s="4">
        <v>0</v>
      </c>
      <c r="L80" s="4">
        <v>14.744</v>
      </c>
      <c r="M80" s="4">
        <v>5.8975999999999997</v>
      </c>
      <c r="N80" s="4">
        <v>14.744</v>
      </c>
      <c r="O80" s="4">
        <v>5.8975999999999997</v>
      </c>
      <c r="P80" s="4">
        <v>0</v>
      </c>
      <c r="Q80" s="3" t="s">
        <v>26</v>
      </c>
      <c r="R80" s="3">
        <v>0</v>
      </c>
      <c r="S80" s="3">
        <v>0</v>
      </c>
      <c r="T80" s="3">
        <v>31</v>
      </c>
      <c r="U80" s="3">
        <v>69</v>
      </c>
      <c r="V80" s="4">
        <f>IF(ISERROR(VLOOKUP($S$80,'TAR FIN'!$A$1:$O$88,15,0)),0,VLOOKUP($S$80,'TAR FIN'!$A$1:$O$88,15,0))</f>
        <v>0</v>
      </c>
      <c r="W80" s="4">
        <f>IF(ISERROR(VLOOKUP($T$80,'TAR FIN'!$A$1:$O$88,15,0)),0,VLOOKUP($T$80,'TAR FIN'!$A$1:$O$88,15,0))</f>
        <v>269.45</v>
      </c>
      <c r="X80" s="4">
        <f>IF(ISERROR(VLOOKUP($U$80,'TAR FIN'!$A$1:$O$88,15,0)),0,VLOOKUP($U$80,'TAR FIN'!$A$1:$O$88,15,0))</f>
        <v>213.27</v>
      </c>
      <c r="Y80" s="4"/>
      <c r="Z80" s="4">
        <f ca="1">('TUSD BE'!$AM$33+'TUSD BF'!$AM$33+'TUSD CVA'!$AM$33)*(1-CUSTOS!$M$38)</f>
        <v>421.14033355107131</v>
      </c>
      <c r="AA80" s="4">
        <f>('TE BE'!$AB$23+'TE BF'!$AB$23+'TE CVA'!$AB$23)*(1-CUSTOS!$M$38)</f>
        <v>179.54706321936715</v>
      </c>
      <c r="AB80" s="4">
        <f t="shared" si="6"/>
        <v>0</v>
      </c>
      <c r="AC80" s="4">
        <f>(L80-M80)*(W80+X80)+($W$2+$X$2-$W$80-$X$80)*(L80)</f>
        <v>5240.7842879999998</v>
      </c>
      <c r="AD80" s="4">
        <f t="shared" si="7"/>
        <v>0</v>
      </c>
      <c r="AE80" s="4">
        <f ca="1">(L80-M80)*(Z80+AA80)+($Z$2+$AA$2-$Z$80-$AA$80)*(L80)</f>
        <v>5879.2317300655395</v>
      </c>
      <c r="AF80" s="3" t="s">
        <v>626</v>
      </c>
    </row>
    <row r="81" spans="1:32" ht="11.25" customHeight="1" x14ac:dyDescent="0.3">
      <c r="A81" s="3" t="s">
        <v>21</v>
      </c>
      <c r="B81" s="3" t="s">
        <v>42</v>
      </c>
      <c r="C81" s="3" t="s">
        <v>23</v>
      </c>
      <c r="D81" s="3" t="s">
        <v>43</v>
      </c>
      <c r="E81" s="3" t="s">
        <v>51</v>
      </c>
      <c r="F81" s="3" t="s">
        <v>53</v>
      </c>
      <c r="G81" s="3" t="s">
        <v>25</v>
      </c>
      <c r="H81" s="3" t="s">
        <v>25</v>
      </c>
      <c r="I81" s="6">
        <v>44531</v>
      </c>
      <c r="J81" s="4">
        <v>0</v>
      </c>
      <c r="K81" s="4">
        <v>0</v>
      </c>
      <c r="L81" s="4">
        <v>7.0330000000000004</v>
      </c>
      <c r="M81" s="4">
        <v>2.8132000000000001</v>
      </c>
      <c r="N81" s="4">
        <v>7.0330000000000004</v>
      </c>
      <c r="O81" s="4">
        <v>2.8132000000000001</v>
      </c>
      <c r="P81" s="4">
        <v>0</v>
      </c>
      <c r="Q81" s="3" t="s">
        <v>26</v>
      </c>
      <c r="R81" s="3">
        <v>0</v>
      </c>
      <c r="S81" s="3">
        <v>0</v>
      </c>
      <c r="T81" s="3">
        <v>31</v>
      </c>
      <c r="U81" s="3">
        <v>69</v>
      </c>
      <c r="V81" s="4">
        <f>IF(ISERROR(VLOOKUP($S$81,'TAR FIN'!$A$1:$O$88,15,0)),0,VLOOKUP($S$81,'TAR FIN'!$A$1:$O$88,15,0))</f>
        <v>0</v>
      </c>
      <c r="W81" s="4">
        <f>IF(ISERROR(VLOOKUP($T$81,'TAR FIN'!$A$1:$O$88,15,0)),0,VLOOKUP($T$81,'TAR FIN'!$A$1:$O$88,15,0))</f>
        <v>269.45</v>
      </c>
      <c r="X81" s="4">
        <f>IF(ISERROR(VLOOKUP($U$81,'TAR FIN'!$A$1:$O$88,15,0)),0,VLOOKUP($U$81,'TAR FIN'!$A$1:$O$88,15,0))</f>
        <v>213.27</v>
      </c>
      <c r="Y81" s="4"/>
      <c r="Z81" s="4">
        <f ca="1">('TUSD BE'!$AM$33+'TUSD BF'!$AM$33+'TUSD CVA'!$AM$33)*(1-CUSTOS!$M$38)</f>
        <v>421.14033355107131</v>
      </c>
      <c r="AA81" s="4">
        <f>('TE BE'!$AB$23+'TE BF'!$AB$23+'TE CVA'!$AB$23)*(1-CUSTOS!$M$38)</f>
        <v>179.54706321936715</v>
      </c>
      <c r="AB81" s="4">
        <f t="shared" si="6"/>
        <v>0</v>
      </c>
      <c r="AC81" s="4">
        <f>(L81-M81)*(W81+X81)+($W$2+$X$2-$W$81-$X$81)*(L81)</f>
        <v>2499.893916</v>
      </c>
      <c r="AD81" s="4">
        <f t="shared" si="7"/>
        <v>0</v>
      </c>
      <c r="AE81" s="4">
        <f ca="1">(L81-M81)*(Z81+AA81)+($Z$2+$AA$2-$Z$81-$AA$81)*(L81)</f>
        <v>2804.4381957101832</v>
      </c>
      <c r="AF81" s="3" t="s">
        <v>626</v>
      </c>
    </row>
    <row r="82" spans="1:32" ht="11.25" customHeight="1" x14ac:dyDescent="0.3">
      <c r="A82" s="3" t="s">
        <v>28</v>
      </c>
      <c r="B82" s="3" t="s">
        <v>42</v>
      </c>
      <c r="C82" s="3" t="s">
        <v>23</v>
      </c>
      <c r="D82" s="3" t="s">
        <v>43</v>
      </c>
      <c r="E82" s="3" t="s">
        <v>51</v>
      </c>
      <c r="F82" s="3" t="s">
        <v>53</v>
      </c>
      <c r="G82" s="3" t="s">
        <v>25</v>
      </c>
      <c r="H82" s="3" t="s">
        <v>25</v>
      </c>
      <c r="I82" s="6">
        <v>44531</v>
      </c>
      <c r="J82" s="4">
        <v>0</v>
      </c>
      <c r="K82" s="4">
        <v>0</v>
      </c>
      <c r="L82" s="4">
        <v>0.112</v>
      </c>
      <c r="M82" s="4">
        <v>4.48E-2</v>
      </c>
      <c r="N82" s="4">
        <v>0.112</v>
      </c>
      <c r="O82" s="4">
        <v>4.48E-2</v>
      </c>
      <c r="P82" s="4">
        <v>0</v>
      </c>
      <c r="Q82" s="3" t="s">
        <v>26</v>
      </c>
      <c r="R82" s="3">
        <v>0</v>
      </c>
      <c r="S82" s="3">
        <v>0</v>
      </c>
      <c r="T82" s="3">
        <v>31</v>
      </c>
      <c r="U82" s="3">
        <v>69</v>
      </c>
      <c r="V82" s="4">
        <f>IF(ISERROR(VLOOKUP($S$82,'TAR FIN'!$A$1:$O$88,15,0)),0,VLOOKUP($S$82,'TAR FIN'!$A$1:$O$88,15,0))</f>
        <v>0</v>
      </c>
      <c r="W82" s="4">
        <f>IF(ISERROR(VLOOKUP($T$82,'TAR FIN'!$A$1:$O$88,15,0)),0,VLOOKUP($T$82,'TAR FIN'!$A$1:$O$88,15,0))</f>
        <v>269.45</v>
      </c>
      <c r="X82" s="4">
        <f>IF(ISERROR(VLOOKUP($U$82,'TAR FIN'!$A$1:$O$88,15,0)),0,VLOOKUP($U$82,'TAR FIN'!$A$1:$O$88,15,0))</f>
        <v>213.27</v>
      </c>
      <c r="Y82" s="4"/>
      <c r="Z82" s="4">
        <f ca="1">('TUSD BE'!$AM$33+'TUSD BF'!$AM$33+'TUSD CVA'!$AM$33)*(1-CUSTOS!$M$38)</f>
        <v>421.14033355107131</v>
      </c>
      <c r="AA82" s="4">
        <f>('TE BE'!$AB$23+'TE BF'!$AB$23+'TE CVA'!$AB$23)*(1-CUSTOS!$M$38)</f>
        <v>179.54706321936715</v>
      </c>
      <c r="AB82" s="4">
        <f t="shared" si="6"/>
        <v>0</v>
      </c>
      <c r="AC82" s="4">
        <f>(L82-M82)*(W82+X82)+($W$2+$X$2-$W$82-$X$82)*(L82)</f>
        <v>39.810624000000004</v>
      </c>
      <c r="AD82" s="4">
        <f t="shared" si="7"/>
        <v>0</v>
      </c>
      <c r="AE82" s="4">
        <f ca="1">(L82-M82)*(Z82+AA82)+($Z$2+$AA$2-$Z$82-$AA$82)*(L82)</f>
        <v>44.660468920736612</v>
      </c>
      <c r="AF82" s="3" t="s">
        <v>626</v>
      </c>
    </row>
    <row r="83" spans="1:32" ht="11.25" customHeight="1" x14ac:dyDescent="0.3">
      <c r="A83" s="3" t="s">
        <v>21</v>
      </c>
      <c r="B83" s="3" t="s">
        <v>42</v>
      </c>
      <c r="C83" s="3" t="s">
        <v>23</v>
      </c>
      <c r="D83" s="3" t="s">
        <v>43</v>
      </c>
      <c r="E83" s="3" t="s">
        <v>51</v>
      </c>
      <c r="F83" s="3" t="s">
        <v>53</v>
      </c>
      <c r="G83" s="3" t="s">
        <v>25</v>
      </c>
      <c r="H83" s="3" t="s">
        <v>25</v>
      </c>
      <c r="I83" s="6">
        <v>44562</v>
      </c>
      <c r="J83" s="4">
        <v>0</v>
      </c>
      <c r="K83" s="4">
        <v>0</v>
      </c>
      <c r="L83" s="4">
        <v>16.582000000000001</v>
      </c>
      <c r="M83" s="4">
        <v>6.6327999999999996</v>
      </c>
      <c r="N83" s="4">
        <v>16.582000000000001</v>
      </c>
      <c r="O83" s="4">
        <v>6.6327999999999996</v>
      </c>
      <c r="P83" s="4">
        <v>0</v>
      </c>
      <c r="Q83" s="3" t="s">
        <v>26</v>
      </c>
      <c r="R83" s="3">
        <v>0</v>
      </c>
      <c r="S83" s="3">
        <v>0</v>
      </c>
      <c r="T83" s="3">
        <v>31</v>
      </c>
      <c r="U83" s="3">
        <v>69</v>
      </c>
      <c r="V83" s="4">
        <f>IF(ISERROR(VLOOKUP($S$83,'TAR FIN'!$A$1:$O$88,15,0)),0,VLOOKUP($S$83,'TAR FIN'!$A$1:$O$88,15,0))</f>
        <v>0</v>
      </c>
      <c r="W83" s="4">
        <f>IF(ISERROR(VLOOKUP($T$83,'TAR FIN'!$A$1:$O$88,15,0)),0,VLOOKUP($T$83,'TAR FIN'!$A$1:$O$88,15,0))</f>
        <v>269.45</v>
      </c>
      <c r="X83" s="4">
        <f>IF(ISERROR(VLOOKUP($U$83,'TAR FIN'!$A$1:$O$88,15,0)),0,VLOOKUP($U$83,'TAR FIN'!$A$1:$O$88,15,0))</f>
        <v>213.27</v>
      </c>
      <c r="Y83" s="4"/>
      <c r="Z83" s="4">
        <f ca="1">('TUSD BE'!$AM$33+'TUSD BF'!$AM$33+'TUSD CVA'!$AM$33)*(1-CUSTOS!$M$38)</f>
        <v>421.14033355107131</v>
      </c>
      <c r="AA83" s="4">
        <f>('TE BE'!$AB$23+'TE BF'!$AB$23+'TE CVA'!$AB$23)*(1-CUSTOS!$M$38)</f>
        <v>179.54706321936715</v>
      </c>
      <c r="AB83" s="4">
        <f t="shared" si="6"/>
        <v>0</v>
      </c>
      <c r="AC83" s="4">
        <f>(L83-M83)*(W83+X83)+($W$2+$X$2-$W$83-$X$83)*(L83)</f>
        <v>5894.1050640000012</v>
      </c>
      <c r="AD83" s="4">
        <f t="shared" si="7"/>
        <v>0</v>
      </c>
      <c r="AE83" s="4">
        <f ca="1">(L83-M83)*(Z83+AA83)+($Z$2+$AA$2-$Z$83-$AA$83)*(L83)</f>
        <v>6612.141925389772</v>
      </c>
      <c r="AF83" s="3" t="s">
        <v>626</v>
      </c>
    </row>
    <row r="84" spans="1:32" ht="11.25" customHeight="1" x14ac:dyDescent="0.3">
      <c r="A84" s="3" t="s">
        <v>27</v>
      </c>
      <c r="B84" s="3" t="s">
        <v>42</v>
      </c>
      <c r="C84" s="3" t="s">
        <v>23</v>
      </c>
      <c r="D84" s="3" t="s">
        <v>43</v>
      </c>
      <c r="E84" s="3" t="s">
        <v>51</v>
      </c>
      <c r="F84" s="3" t="s">
        <v>53</v>
      </c>
      <c r="G84" s="3" t="s">
        <v>25</v>
      </c>
      <c r="H84" s="3" t="s">
        <v>25</v>
      </c>
      <c r="I84" s="6">
        <v>44562</v>
      </c>
      <c r="J84" s="4">
        <v>0</v>
      </c>
      <c r="K84" s="4">
        <v>0</v>
      </c>
      <c r="L84" s="4">
        <v>-1.125</v>
      </c>
      <c r="M84" s="4">
        <v>-0.45</v>
      </c>
      <c r="N84" s="4">
        <v>-1.125</v>
      </c>
      <c r="O84" s="4">
        <v>-0.45</v>
      </c>
      <c r="P84" s="4">
        <v>0</v>
      </c>
      <c r="Q84" s="3" t="s">
        <v>26</v>
      </c>
      <c r="R84" s="3">
        <v>0</v>
      </c>
      <c r="S84" s="3">
        <v>0</v>
      </c>
      <c r="T84" s="3">
        <v>31</v>
      </c>
      <c r="U84" s="3">
        <v>69</v>
      </c>
      <c r="V84" s="4">
        <f>IF(ISERROR(VLOOKUP($S$84,'TAR FIN'!$A$1:$O$88,15,0)),0,VLOOKUP($S$84,'TAR FIN'!$A$1:$O$88,15,0))</f>
        <v>0</v>
      </c>
      <c r="W84" s="4">
        <f>IF(ISERROR(VLOOKUP($T$84,'TAR FIN'!$A$1:$O$88,15,0)),0,VLOOKUP($T$84,'TAR FIN'!$A$1:$O$88,15,0))</f>
        <v>269.45</v>
      </c>
      <c r="X84" s="4">
        <f>IF(ISERROR(VLOOKUP($U$84,'TAR FIN'!$A$1:$O$88,15,0)),0,VLOOKUP($U$84,'TAR FIN'!$A$1:$O$88,15,0))</f>
        <v>213.27</v>
      </c>
      <c r="Y84" s="4"/>
      <c r="Z84" s="4">
        <f ca="1">('TUSD BE'!$AM$33+'TUSD BF'!$AM$33+'TUSD CVA'!$AM$33)*(1-CUSTOS!$M$38)</f>
        <v>421.14033355107131</v>
      </c>
      <c r="AA84" s="4">
        <f>('TE BE'!$AB$23+'TE BF'!$AB$23+'TE CVA'!$AB$23)*(1-CUSTOS!$M$38)</f>
        <v>179.54706321936715</v>
      </c>
      <c r="AB84" s="4">
        <f t="shared" si="6"/>
        <v>0</v>
      </c>
      <c r="AC84" s="4">
        <f>(L84-M84)*(W84+X84)+($W$2+$X$2-$W$84-$X$84)*(L84)</f>
        <v>-399.88349999999997</v>
      </c>
      <c r="AD84" s="4">
        <f t="shared" si="7"/>
        <v>0</v>
      </c>
      <c r="AE84" s="4">
        <f ca="1">(L84-M84)*(Z84+AA84)+($Z$2+$AA$2-$Z$84-$AA$84)*(L84)</f>
        <v>-448.59846014132751</v>
      </c>
      <c r="AF84" s="3" t="s">
        <v>626</v>
      </c>
    </row>
    <row r="85" spans="1:32" ht="11.25" customHeight="1" x14ac:dyDescent="0.3">
      <c r="A85" s="3" t="s">
        <v>28</v>
      </c>
      <c r="B85" s="3" t="s">
        <v>42</v>
      </c>
      <c r="C85" s="3" t="s">
        <v>23</v>
      </c>
      <c r="D85" s="3" t="s">
        <v>43</v>
      </c>
      <c r="E85" s="3" t="s">
        <v>51</v>
      </c>
      <c r="F85" s="3" t="s">
        <v>53</v>
      </c>
      <c r="G85" s="3" t="s">
        <v>25</v>
      </c>
      <c r="H85" s="3" t="s">
        <v>25</v>
      </c>
      <c r="I85" s="6">
        <v>44562</v>
      </c>
      <c r="J85" s="4">
        <v>0</v>
      </c>
      <c r="K85" s="4">
        <v>0</v>
      </c>
      <c r="L85" s="4">
        <v>0.245</v>
      </c>
      <c r="M85" s="4">
        <v>9.8000000000000004E-2</v>
      </c>
      <c r="N85" s="4">
        <v>0.245</v>
      </c>
      <c r="O85" s="4">
        <v>9.8000000000000004E-2</v>
      </c>
      <c r="P85" s="4">
        <v>0</v>
      </c>
      <c r="Q85" s="3" t="s">
        <v>26</v>
      </c>
      <c r="R85" s="3">
        <v>0</v>
      </c>
      <c r="S85" s="3">
        <v>0</v>
      </c>
      <c r="T85" s="3">
        <v>31</v>
      </c>
      <c r="U85" s="3">
        <v>69</v>
      </c>
      <c r="V85" s="4">
        <f>IF(ISERROR(VLOOKUP($S$85,'TAR FIN'!$A$1:$O$88,15,0)),0,VLOOKUP($S$85,'TAR FIN'!$A$1:$O$88,15,0))</f>
        <v>0</v>
      </c>
      <c r="W85" s="4">
        <f>IF(ISERROR(VLOOKUP($T$85,'TAR FIN'!$A$1:$O$88,15,0)),0,VLOOKUP($T$85,'TAR FIN'!$A$1:$O$88,15,0))</f>
        <v>269.45</v>
      </c>
      <c r="X85" s="4">
        <f>IF(ISERROR(VLOOKUP($U$85,'TAR FIN'!$A$1:$O$88,15,0)),0,VLOOKUP($U$85,'TAR FIN'!$A$1:$O$88,15,0))</f>
        <v>213.27</v>
      </c>
      <c r="Y85" s="4"/>
      <c r="Z85" s="4">
        <f ca="1">('TUSD BE'!$AM$33+'TUSD BF'!$AM$33+'TUSD CVA'!$AM$33)*(1-CUSTOS!$M$38)</f>
        <v>421.14033355107131</v>
      </c>
      <c r="AA85" s="4">
        <f>('TE BE'!$AB$23+'TE BF'!$AB$23+'TE CVA'!$AB$23)*(1-CUSTOS!$M$38)</f>
        <v>179.54706321936715</v>
      </c>
      <c r="AB85" s="4">
        <f t="shared" si="6"/>
        <v>0</v>
      </c>
      <c r="AC85" s="4">
        <f>(L85-M85)*(W85+X85)+($W$2+$X$2-$W$85-$X$85)*(L85)</f>
        <v>87.085739999999987</v>
      </c>
      <c r="AD85" s="4">
        <f t="shared" si="7"/>
        <v>0</v>
      </c>
      <c r="AE85" s="4">
        <f ca="1">(L85-M85)*(Z85+AA85)+($Z$2+$AA$2-$Z$85-$AA$85)*(L85)</f>
        <v>97.694775764111313</v>
      </c>
      <c r="AF85" s="3" t="s">
        <v>626</v>
      </c>
    </row>
    <row r="86" spans="1:32" ht="11.25" customHeight="1" x14ac:dyDescent="0.3">
      <c r="A86" s="3" t="s">
        <v>21</v>
      </c>
      <c r="B86" s="3" t="s">
        <v>42</v>
      </c>
      <c r="C86" s="3" t="s">
        <v>23</v>
      </c>
      <c r="D86" s="3" t="s">
        <v>43</v>
      </c>
      <c r="E86" s="3" t="s">
        <v>51</v>
      </c>
      <c r="F86" s="3" t="s">
        <v>53</v>
      </c>
      <c r="G86" s="3" t="s">
        <v>25</v>
      </c>
      <c r="H86" s="3" t="s">
        <v>25</v>
      </c>
      <c r="I86" s="6">
        <v>44593</v>
      </c>
      <c r="J86" s="4">
        <v>0</v>
      </c>
      <c r="K86" s="4">
        <v>0</v>
      </c>
      <c r="L86" s="4">
        <v>7.8330000000000002</v>
      </c>
      <c r="M86" s="4">
        <v>3.1332</v>
      </c>
      <c r="N86" s="4">
        <v>7.8330000000000002</v>
      </c>
      <c r="O86" s="4">
        <v>3.1332</v>
      </c>
      <c r="P86" s="4">
        <v>0</v>
      </c>
      <c r="Q86" s="3" t="s">
        <v>26</v>
      </c>
      <c r="R86" s="3">
        <v>0</v>
      </c>
      <c r="S86" s="3">
        <v>0</v>
      </c>
      <c r="T86" s="3">
        <v>31</v>
      </c>
      <c r="U86" s="3">
        <v>69</v>
      </c>
      <c r="V86" s="4">
        <f>IF(ISERROR(VLOOKUP($S$86,'TAR FIN'!$A$1:$O$88,15,0)),0,VLOOKUP($S$86,'TAR FIN'!$A$1:$O$88,15,0))</f>
        <v>0</v>
      </c>
      <c r="W86" s="4">
        <f>IF(ISERROR(VLOOKUP($T$86,'TAR FIN'!$A$1:$O$88,15,0)),0,VLOOKUP($T$86,'TAR FIN'!$A$1:$O$88,15,0))</f>
        <v>269.45</v>
      </c>
      <c r="X86" s="4">
        <f>IF(ISERROR(VLOOKUP($U$86,'TAR FIN'!$A$1:$O$88,15,0)),0,VLOOKUP($U$86,'TAR FIN'!$A$1:$O$88,15,0))</f>
        <v>213.27</v>
      </c>
      <c r="Y86" s="4"/>
      <c r="Z86" s="4">
        <f ca="1">('TUSD BE'!$AM$33+'TUSD BF'!$AM$33+'TUSD CVA'!$AM$33)*(1-CUSTOS!$M$38)</f>
        <v>421.14033355107131</v>
      </c>
      <c r="AA86" s="4">
        <f>('TE BE'!$AB$23+'TE BF'!$AB$23+'TE CVA'!$AB$23)*(1-CUSTOS!$M$38)</f>
        <v>179.54706321936715</v>
      </c>
      <c r="AB86" s="4">
        <f t="shared" si="6"/>
        <v>0</v>
      </c>
      <c r="AC86" s="4">
        <f>(L86-M86)*(W86+X86)+($W$2+$X$2-$W$86-$X$86)*(L86)</f>
        <v>2784.2555159999997</v>
      </c>
      <c r="AD86" s="4">
        <f t="shared" si="7"/>
        <v>0</v>
      </c>
      <c r="AE86" s="4">
        <f ca="1">(L86-M86)*(Z86+AA86)+($Z$2+$AA$2-$Z$86-$AA$86)*(L86)</f>
        <v>3123.4415451440159</v>
      </c>
      <c r="AF86" s="3" t="s">
        <v>626</v>
      </c>
    </row>
    <row r="87" spans="1:32" ht="11.25" customHeight="1" x14ac:dyDescent="0.3">
      <c r="A87" s="3" t="s">
        <v>28</v>
      </c>
      <c r="B87" s="3" t="s">
        <v>42</v>
      </c>
      <c r="C87" s="3" t="s">
        <v>23</v>
      </c>
      <c r="D87" s="3" t="s">
        <v>43</v>
      </c>
      <c r="E87" s="3" t="s">
        <v>51</v>
      </c>
      <c r="F87" s="3" t="s">
        <v>53</v>
      </c>
      <c r="G87" s="3" t="s">
        <v>25</v>
      </c>
      <c r="H87" s="3" t="s">
        <v>25</v>
      </c>
      <c r="I87" s="6">
        <v>44593</v>
      </c>
      <c r="J87" s="4">
        <v>0</v>
      </c>
      <c r="K87" s="4">
        <v>0</v>
      </c>
      <c r="L87" s="4">
        <v>0.152</v>
      </c>
      <c r="M87" s="4">
        <v>6.08E-2</v>
      </c>
      <c r="N87" s="4">
        <v>0.152</v>
      </c>
      <c r="O87" s="4">
        <v>6.08E-2</v>
      </c>
      <c r="P87" s="4">
        <v>0</v>
      </c>
      <c r="Q87" s="3" t="s">
        <v>26</v>
      </c>
      <c r="R87" s="3">
        <v>0</v>
      </c>
      <c r="S87" s="3">
        <v>0</v>
      </c>
      <c r="T87" s="3">
        <v>31</v>
      </c>
      <c r="U87" s="3">
        <v>69</v>
      </c>
      <c r="V87" s="4">
        <f>IF(ISERROR(VLOOKUP($S$87,'TAR FIN'!$A$1:$O$88,15,0)),0,VLOOKUP($S$87,'TAR FIN'!$A$1:$O$88,15,0))</f>
        <v>0</v>
      </c>
      <c r="W87" s="4">
        <f>IF(ISERROR(VLOOKUP($T$87,'TAR FIN'!$A$1:$O$88,15,0)),0,VLOOKUP($T$87,'TAR FIN'!$A$1:$O$88,15,0))</f>
        <v>269.45</v>
      </c>
      <c r="X87" s="4">
        <f>IF(ISERROR(VLOOKUP($U$87,'TAR FIN'!$A$1:$O$88,15,0)),0,VLOOKUP($U$87,'TAR FIN'!$A$1:$O$88,15,0))</f>
        <v>213.27</v>
      </c>
      <c r="Y87" s="4"/>
      <c r="Z87" s="4">
        <f ca="1">('TUSD BE'!$AM$33+'TUSD BF'!$AM$33+'TUSD CVA'!$AM$33)*(1-CUSTOS!$M$38)</f>
        <v>421.14033355107131</v>
      </c>
      <c r="AA87" s="4">
        <f>('TE BE'!$AB$23+'TE BF'!$AB$23+'TE CVA'!$AB$23)*(1-CUSTOS!$M$38)</f>
        <v>179.54706321936715</v>
      </c>
      <c r="AB87" s="4">
        <f t="shared" si="6"/>
        <v>0</v>
      </c>
      <c r="AC87" s="4">
        <f>(L87-M87)*(W87+X87)+($W$2+$X$2-$W$87-$X$87)*(L87)</f>
        <v>54.028703999999998</v>
      </c>
      <c r="AD87" s="4">
        <f t="shared" si="7"/>
        <v>0</v>
      </c>
      <c r="AE87" s="4">
        <f ca="1">(L87-M87)*(Z87+AA87)+($Z$2+$AA$2-$Z$87-$AA$87)*(L87)</f>
        <v>60.610636392428248</v>
      </c>
      <c r="AF87" s="3" t="s">
        <v>626</v>
      </c>
    </row>
    <row r="88" spans="1:32" ht="11.25" customHeight="1" x14ac:dyDescent="0.3">
      <c r="A88" s="3" t="s">
        <v>21</v>
      </c>
      <c r="B88" s="3" t="s">
        <v>42</v>
      </c>
      <c r="C88" s="3" t="s">
        <v>23</v>
      </c>
      <c r="D88" s="3" t="s">
        <v>43</v>
      </c>
      <c r="E88" s="3" t="s">
        <v>51</v>
      </c>
      <c r="F88" s="3" t="s">
        <v>53</v>
      </c>
      <c r="G88" s="3" t="s">
        <v>25</v>
      </c>
      <c r="H88" s="3" t="s">
        <v>25</v>
      </c>
      <c r="I88" s="6">
        <v>44621</v>
      </c>
      <c r="J88" s="4">
        <v>0</v>
      </c>
      <c r="K88" s="4">
        <v>0</v>
      </c>
      <c r="L88" s="4">
        <v>0.79600000000000004</v>
      </c>
      <c r="M88" s="4">
        <v>0.31840000000000002</v>
      </c>
      <c r="N88" s="4">
        <v>0.79600000000000004</v>
      </c>
      <c r="O88" s="4">
        <v>0.31840000000000002</v>
      </c>
      <c r="P88" s="4">
        <v>0</v>
      </c>
      <c r="Q88" s="3" t="s">
        <v>26</v>
      </c>
      <c r="R88" s="3">
        <v>0</v>
      </c>
      <c r="S88" s="3">
        <v>0</v>
      </c>
      <c r="T88" s="3">
        <v>31</v>
      </c>
      <c r="U88" s="3">
        <v>69</v>
      </c>
      <c r="V88" s="4">
        <f>IF(ISERROR(VLOOKUP($S$88,'TAR FIN'!$A$1:$O$88,15,0)),0,VLOOKUP($S$88,'TAR FIN'!$A$1:$O$88,15,0))</f>
        <v>0</v>
      </c>
      <c r="W88" s="4">
        <f>IF(ISERROR(VLOOKUP($T$88,'TAR FIN'!$A$1:$O$88,15,0)),0,VLOOKUP($T$88,'TAR FIN'!$A$1:$O$88,15,0))</f>
        <v>269.45</v>
      </c>
      <c r="X88" s="4">
        <f>IF(ISERROR(VLOOKUP($U$88,'TAR FIN'!$A$1:$O$88,15,0)),0,VLOOKUP($U$88,'TAR FIN'!$A$1:$O$88,15,0))</f>
        <v>213.27</v>
      </c>
      <c r="Y88" s="4"/>
      <c r="Z88" s="4">
        <f ca="1">('TUSD BE'!$AM$33+'TUSD BF'!$AM$33+'TUSD CVA'!$AM$33)*(1-CUSTOS!$M$38)</f>
        <v>421.14033355107131</v>
      </c>
      <c r="AA88" s="4">
        <f>('TE BE'!$AB$23+'TE BF'!$AB$23+'TE CVA'!$AB$23)*(1-CUSTOS!$M$38)</f>
        <v>179.54706321936715</v>
      </c>
      <c r="AB88" s="4">
        <f t="shared" si="6"/>
        <v>0</v>
      </c>
      <c r="AC88" s="4">
        <f>(L88-M88)*(W88+X88)+($W$2+$X$2-$W$88-$X$88)*(L88)</f>
        <v>282.93979200000001</v>
      </c>
      <c r="AD88" s="4">
        <f t="shared" si="7"/>
        <v>0</v>
      </c>
      <c r="AE88" s="4">
        <f ca="1">(L88-M88)*(Z88+AA88)+($Z$2+$AA$2-$Z$88-$AA$88)*(L88)</f>
        <v>317.40833268666375</v>
      </c>
      <c r="AF88" s="3" t="s">
        <v>626</v>
      </c>
    </row>
    <row r="89" spans="1:32" ht="11.25" customHeight="1" x14ac:dyDescent="0.3">
      <c r="A89" s="3" t="s">
        <v>21</v>
      </c>
      <c r="B89" s="3" t="s">
        <v>42</v>
      </c>
      <c r="C89" s="3" t="s">
        <v>23</v>
      </c>
      <c r="D89" s="3" t="s">
        <v>43</v>
      </c>
      <c r="E89" s="3" t="s">
        <v>51</v>
      </c>
      <c r="F89" s="3" t="s">
        <v>53</v>
      </c>
      <c r="G89" s="3" t="s">
        <v>25</v>
      </c>
      <c r="H89" s="3" t="s">
        <v>25</v>
      </c>
      <c r="I89" s="6">
        <v>44652</v>
      </c>
      <c r="J89" s="4">
        <v>0</v>
      </c>
      <c r="K89" s="4">
        <v>0</v>
      </c>
      <c r="L89" s="4">
        <v>0.65500000000000003</v>
      </c>
      <c r="M89" s="4">
        <v>0.26200000000000001</v>
      </c>
      <c r="N89" s="4">
        <v>0.65500000000000003</v>
      </c>
      <c r="O89" s="4">
        <v>0.26200000000000001</v>
      </c>
      <c r="P89" s="4">
        <v>0</v>
      </c>
      <c r="Q89" s="3" t="s">
        <v>26</v>
      </c>
      <c r="R89" s="3">
        <v>0</v>
      </c>
      <c r="S89" s="3">
        <v>0</v>
      </c>
      <c r="T89" s="3">
        <v>31</v>
      </c>
      <c r="U89" s="3">
        <v>69</v>
      </c>
      <c r="V89" s="4">
        <f>IF(ISERROR(VLOOKUP($S$89,'TAR FIN'!$A$1:$O$88,15,0)),0,VLOOKUP($S$89,'TAR FIN'!$A$1:$O$88,15,0))</f>
        <v>0</v>
      </c>
      <c r="W89" s="4">
        <f>IF(ISERROR(VLOOKUP($T$89,'TAR FIN'!$A$1:$O$88,15,0)),0,VLOOKUP($T$89,'TAR FIN'!$A$1:$O$88,15,0))</f>
        <v>269.45</v>
      </c>
      <c r="X89" s="4">
        <f>IF(ISERROR(VLOOKUP($U$89,'TAR FIN'!$A$1:$O$88,15,0)),0,VLOOKUP($U$89,'TAR FIN'!$A$1:$O$88,15,0))</f>
        <v>213.27</v>
      </c>
      <c r="Y89" s="4"/>
      <c r="Z89" s="4">
        <f ca="1">('TUSD BE'!$AM$33+'TUSD BF'!$AM$33+'TUSD CVA'!$AM$33)*(1-CUSTOS!$M$38)</f>
        <v>421.14033355107131</v>
      </c>
      <c r="AA89" s="4">
        <f>('TE BE'!$AB$23+'TE BF'!$AB$23+'TE CVA'!$AB$23)*(1-CUSTOS!$M$38)</f>
        <v>179.54706321936715</v>
      </c>
      <c r="AB89" s="4">
        <f t="shared" si="6"/>
        <v>0</v>
      </c>
      <c r="AC89" s="4">
        <f>(L89-M89)*(W89+X89)+($W$2+$X$2-$W$89-$X$89)*(L89)</f>
        <v>232.82105999999999</v>
      </c>
      <c r="AD89" s="4">
        <f t="shared" si="7"/>
        <v>0</v>
      </c>
      <c r="AE89" s="4">
        <f ca="1">(L89-M89)*(Z89+AA89)+($Z$2+$AA$2-$Z$89-$AA$89)*(L89)</f>
        <v>261.18399234895071</v>
      </c>
      <c r="AF89" s="3" t="s">
        <v>626</v>
      </c>
    </row>
    <row r="90" spans="1:32" ht="11.25" customHeight="1" x14ac:dyDescent="0.3">
      <c r="A90" s="3" t="s">
        <v>21</v>
      </c>
      <c r="B90" s="3" t="s">
        <v>42</v>
      </c>
      <c r="C90" s="3" t="s">
        <v>23</v>
      </c>
      <c r="D90" s="3" t="s">
        <v>43</v>
      </c>
      <c r="E90" s="3" t="s">
        <v>51</v>
      </c>
      <c r="F90" s="3" t="s">
        <v>53</v>
      </c>
      <c r="G90" s="3" t="s">
        <v>25</v>
      </c>
      <c r="H90" s="3" t="s">
        <v>25</v>
      </c>
      <c r="I90" s="6">
        <v>44682</v>
      </c>
      <c r="J90" s="4">
        <v>0</v>
      </c>
      <c r="K90" s="4">
        <v>0</v>
      </c>
      <c r="L90" s="4">
        <v>0.50800000000000001</v>
      </c>
      <c r="M90" s="4">
        <v>0.20319999999999999</v>
      </c>
      <c r="N90" s="4">
        <v>0.50800000000000001</v>
      </c>
      <c r="O90" s="4">
        <v>0.20319999999999999</v>
      </c>
      <c r="P90" s="4">
        <v>0</v>
      </c>
      <c r="Q90" s="3" t="s">
        <v>26</v>
      </c>
      <c r="R90" s="3">
        <v>0</v>
      </c>
      <c r="S90" s="3">
        <v>0</v>
      </c>
      <c r="T90" s="3">
        <v>31</v>
      </c>
      <c r="U90" s="3">
        <v>69</v>
      </c>
      <c r="V90" s="4">
        <f>IF(ISERROR(VLOOKUP($S$90,'TAR FIN'!$A$1:$O$88,15,0)),0,VLOOKUP($S$90,'TAR FIN'!$A$1:$O$88,15,0))</f>
        <v>0</v>
      </c>
      <c r="W90" s="4">
        <f>IF(ISERROR(VLOOKUP($T$90,'TAR FIN'!$A$1:$O$88,15,0)),0,VLOOKUP($T$90,'TAR FIN'!$A$1:$O$88,15,0))</f>
        <v>269.45</v>
      </c>
      <c r="X90" s="4">
        <f>IF(ISERROR(VLOOKUP($U$90,'TAR FIN'!$A$1:$O$88,15,0)),0,VLOOKUP($U$90,'TAR FIN'!$A$1:$O$88,15,0))</f>
        <v>213.27</v>
      </c>
      <c r="Y90" s="4"/>
      <c r="Z90" s="4">
        <f ca="1">('TUSD BE'!$AM$33+'TUSD BF'!$AM$33+'TUSD CVA'!$AM$33)*(1-CUSTOS!$M$38)</f>
        <v>421.14033355107131</v>
      </c>
      <c r="AA90" s="4">
        <f>('TE BE'!$AB$23+'TE BF'!$AB$23+'TE CVA'!$AB$23)*(1-CUSTOS!$M$38)</f>
        <v>179.54706321936715</v>
      </c>
      <c r="AB90" s="4">
        <f t="shared" si="6"/>
        <v>0</v>
      </c>
      <c r="AC90" s="4">
        <f>(L90-M90)*(W90+X90)+($W$2+$X$2-$W$90-$X$90)*(L90)</f>
        <v>180.569616</v>
      </c>
      <c r="AD90" s="4">
        <f t="shared" si="7"/>
        <v>0</v>
      </c>
      <c r="AE90" s="4">
        <f ca="1">(L90-M90)*(Z90+AA90)+($Z$2+$AA$2-$Z$90-$AA$90)*(L90)</f>
        <v>202.56712689048391</v>
      </c>
      <c r="AF90" s="3" t="s">
        <v>626</v>
      </c>
    </row>
    <row r="91" spans="1:32" ht="11.25" customHeight="1" x14ac:dyDescent="0.3">
      <c r="A91" s="3" t="s">
        <v>27</v>
      </c>
      <c r="B91" s="3" t="s">
        <v>42</v>
      </c>
      <c r="C91" s="3" t="s">
        <v>23</v>
      </c>
      <c r="D91" s="3" t="s">
        <v>43</v>
      </c>
      <c r="E91" s="3" t="s">
        <v>51</v>
      </c>
      <c r="F91" s="3" t="s">
        <v>53</v>
      </c>
      <c r="G91" s="3" t="s">
        <v>25</v>
      </c>
      <c r="H91" s="3" t="s">
        <v>25</v>
      </c>
      <c r="I91" s="6">
        <v>44682</v>
      </c>
      <c r="J91" s="4">
        <v>0</v>
      </c>
      <c r="K91" s="4">
        <v>0</v>
      </c>
      <c r="L91" s="4">
        <v>2.8000000000000001E-2</v>
      </c>
      <c r="M91" s="4">
        <v>1.12E-2</v>
      </c>
      <c r="N91" s="4">
        <v>2.8000000000000001E-2</v>
      </c>
      <c r="O91" s="4">
        <v>1.12E-2</v>
      </c>
      <c r="P91" s="4">
        <v>0</v>
      </c>
      <c r="Q91" s="3" t="s">
        <v>26</v>
      </c>
      <c r="R91" s="3">
        <v>0</v>
      </c>
      <c r="S91" s="3">
        <v>0</v>
      </c>
      <c r="T91" s="3">
        <v>31</v>
      </c>
      <c r="U91" s="3">
        <v>69</v>
      </c>
      <c r="V91" s="4">
        <f>IF(ISERROR(VLOOKUP($S$91,'TAR FIN'!$A$1:$O$88,15,0)),0,VLOOKUP($S$91,'TAR FIN'!$A$1:$O$88,15,0))</f>
        <v>0</v>
      </c>
      <c r="W91" s="4">
        <f>IF(ISERROR(VLOOKUP($T$91,'TAR FIN'!$A$1:$O$88,15,0)),0,VLOOKUP($T$91,'TAR FIN'!$A$1:$O$88,15,0))</f>
        <v>269.45</v>
      </c>
      <c r="X91" s="4">
        <f>IF(ISERROR(VLOOKUP($U$91,'TAR FIN'!$A$1:$O$88,15,0)),0,VLOOKUP($U$91,'TAR FIN'!$A$1:$O$88,15,0))</f>
        <v>213.27</v>
      </c>
      <c r="Y91" s="4"/>
      <c r="Z91" s="4">
        <f ca="1">('TUSD BE'!$AM$33+'TUSD BF'!$AM$33+'TUSD CVA'!$AM$33)*(1-CUSTOS!$M$38)</f>
        <v>421.14033355107131</v>
      </c>
      <c r="AA91" s="4">
        <f>('TE BE'!$AB$23+'TE BF'!$AB$23+'TE CVA'!$AB$23)*(1-CUSTOS!$M$38)</f>
        <v>179.54706321936715</v>
      </c>
      <c r="AB91" s="4">
        <f t="shared" si="6"/>
        <v>0</v>
      </c>
      <c r="AC91" s="4">
        <f>(L91-M91)*(W91+X91)+($W$2+$X$2-$W$91-$X$91)*(L91)</f>
        <v>9.9526560000000011</v>
      </c>
      <c r="AD91" s="4">
        <f t="shared" si="7"/>
        <v>0</v>
      </c>
      <c r="AE91" s="4">
        <f ca="1">(L91-M91)*(Z91+AA91)+($Z$2+$AA$2-$Z$91-$AA$91)*(L91)</f>
        <v>11.165117230184153</v>
      </c>
      <c r="AF91" s="3" t="s">
        <v>626</v>
      </c>
    </row>
    <row r="92" spans="1:32" ht="11.25" customHeight="1" x14ac:dyDescent="0.3">
      <c r="A92" s="3" t="s">
        <v>21</v>
      </c>
      <c r="B92" s="3" t="s">
        <v>42</v>
      </c>
      <c r="C92" s="3" t="s">
        <v>23</v>
      </c>
      <c r="D92" s="3" t="s">
        <v>43</v>
      </c>
      <c r="E92" s="3" t="s">
        <v>51</v>
      </c>
      <c r="F92" s="3" t="s">
        <v>53</v>
      </c>
      <c r="G92" s="3" t="s">
        <v>25</v>
      </c>
      <c r="H92" s="3" t="s">
        <v>25</v>
      </c>
      <c r="I92" s="6">
        <v>44713</v>
      </c>
      <c r="J92" s="4">
        <v>0</v>
      </c>
      <c r="K92" s="4">
        <v>0</v>
      </c>
      <c r="L92" s="4">
        <v>1.663</v>
      </c>
      <c r="M92" s="4">
        <v>0.66520000000000001</v>
      </c>
      <c r="N92" s="4">
        <v>1.663</v>
      </c>
      <c r="O92" s="4">
        <v>0.66520000000000001</v>
      </c>
      <c r="P92" s="4">
        <v>0</v>
      </c>
      <c r="Q92" s="3" t="s">
        <v>26</v>
      </c>
      <c r="R92" s="3">
        <v>0</v>
      </c>
      <c r="S92" s="3">
        <v>0</v>
      </c>
      <c r="T92" s="3">
        <v>31</v>
      </c>
      <c r="U92" s="3">
        <v>69</v>
      </c>
      <c r="V92" s="4">
        <f>IF(ISERROR(VLOOKUP($S$92,'TAR FIN'!$A$1:$O$88,15,0)),0,VLOOKUP($S$92,'TAR FIN'!$A$1:$O$88,15,0))</f>
        <v>0</v>
      </c>
      <c r="W92" s="4">
        <f>IF(ISERROR(VLOOKUP($T$92,'TAR FIN'!$A$1:$O$88,15,0)),0,VLOOKUP($T$92,'TAR FIN'!$A$1:$O$88,15,0))</f>
        <v>269.45</v>
      </c>
      <c r="X92" s="4">
        <f>IF(ISERROR(VLOOKUP($U$92,'TAR FIN'!$A$1:$O$88,15,0)),0,VLOOKUP($U$92,'TAR FIN'!$A$1:$O$88,15,0))</f>
        <v>213.27</v>
      </c>
      <c r="Y92" s="4"/>
      <c r="Z92" s="4">
        <f ca="1">('TUSD BE'!$AM$33+'TUSD BF'!$AM$33+'TUSD CVA'!$AM$33)*(1-CUSTOS!$M$38)</f>
        <v>421.14033355107131</v>
      </c>
      <c r="AA92" s="4">
        <f>('TE BE'!$AB$23+'TE BF'!$AB$23+'TE CVA'!$AB$23)*(1-CUSTOS!$M$38)</f>
        <v>179.54706321936715</v>
      </c>
      <c r="AB92" s="4">
        <f t="shared" si="6"/>
        <v>0</v>
      </c>
      <c r="AC92" s="4">
        <f>(L92-M92)*(W92+X92)+($W$2+$X$2-$W$92-$X$92)*(L92)</f>
        <v>591.11667599999998</v>
      </c>
      <c r="AD92" s="4">
        <f t="shared" si="7"/>
        <v>0</v>
      </c>
      <c r="AE92" s="4">
        <f ca="1">(L92-M92)*(Z92+AA92)+($Z$2+$AA$2-$Z$92-$AA$92)*(L92)</f>
        <v>663.1282126355801</v>
      </c>
      <c r="AF92" s="3" t="s">
        <v>626</v>
      </c>
    </row>
    <row r="93" spans="1:32" ht="11.25" customHeight="1" x14ac:dyDescent="0.3">
      <c r="A93" s="3" t="s">
        <v>21</v>
      </c>
      <c r="B93" s="3" t="s">
        <v>42</v>
      </c>
      <c r="C93" s="3" t="s">
        <v>23</v>
      </c>
      <c r="D93" s="3" t="s">
        <v>43</v>
      </c>
      <c r="E93" s="3" t="s">
        <v>51</v>
      </c>
      <c r="F93" s="3" t="s">
        <v>53</v>
      </c>
      <c r="G93" s="3" t="s">
        <v>25</v>
      </c>
      <c r="H93" s="3" t="s">
        <v>25</v>
      </c>
      <c r="I93" s="6">
        <v>44743</v>
      </c>
      <c r="J93" s="4">
        <v>0</v>
      </c>
      <c r="K93" s="4">
        <v>0</v>
      </c>
      <c r="L93" s="4">
        <v>0.98399999999999999</v>
      </c>
      <c r="M93" s="4">
        <v>0.39360000000000001</v>
      </c>
      <c r="N93" s="4">
        <v>0.98399999999999999</v>
      </c>
      <c r="O93" s="4">
        <v>0.39360000000000001</v>
      </c>
      <c r="P93" s="4">
        <v>0</v>
      </c>
      <c r="Q93" s="3" t="s">
        <v>26</v>
      </c>
      <c r="R93" s="3">
        <v>0</v>
      </c>
      <c r="S93" s="3">
        <v>0</v>
      </c>
      <c r="T93" s="3">
        <v>31</v>
      </c>
      <c r="U93" s="3">
        <v>69</v>
      </c>
      <c r="V93" s="4">
        <f>IF(ISERROR(VLOOKUP($S$93,'TAR FIN'!$A$1:$O$88,15,0)),0,VLOOKUP($S$93,'TAR FIN'!$A$1:$O$88,15,0))</f>
        <v>0</v>
      </c>
      <c r="W93" s="4">
        <f>IF(ISERROR(VLOOKUP($T$93,'TAR FIN'!$A$1:$O$88,15,0)),0,VLOOKUP($T$93,'TAR FIN'!$A$1:$O$88,15,0))</f>
        <v>269.45</v>
      </c>
      <c r="X93" s="4">
        <f>IF(ISERROR(VLOOKUP($U$93,'TAR FIN'!$A$1:$O$88,15,0)),0,VLOOKUP($U$93,'TAR FIN'!$A$1:$O$88,15,0))</f>
        <v>213.27</v>
      </c>
      <c r="Y93" s="4"/>
      <c r="Z93" s="4">
        <f ca="1">('TUSD BE'!$AM$33+'TUSD BF'!$AM$33+'TUSD CVA'!$AM$33)*(1-CUSTOS!$M$38)</f>
        <v>421.14033355107131</v>
      </c>
      <c r="AA93" s="4">
        <f>('TE BE'!$AB$23+'TE BF'!$AB$23+'TE CVA'!$AB$23)*(1-CUSTOS!$M$38)</f>
        <v>179.54706321936715</v>
      </c>
      <c r="AB93" s="4">
        <f t="shared" si="6"/>
        <v>0</v>
      </c>
      <c r="AC93" s="4">
        <f>(L93-M93)*(W93+X93)+($W$2+$X$2-$W$93-$X$93)*(L93)</f>
        <v>349.764768</v>
      </c>
      <c r="AD93" s="4">
        <f t="shared" si="7"/>
        <v>0</v>
      </c>
      <c r="AE93" s="4">
        <f ca="1">(L93-M93)*(Z93+AA93)+($Z$2+$AA$2-$Z$93-$AA$93)*(L93)</f>
        <v>392.37411980361446</v>
      </c>
      <c r="AF93" s="3" t="s">
        <v>626</v>
      </c>
    </row>
    <row r="94" spans="1:32" ht="11.25" customHeight="1" x14ac:dyDescent="0.3">
      <c r="A94" s="3" t="s">
        <v>55</v>
      </c>
      <c r="B94" s="3" t="s">
        <v>42</v>
      </c>
      <c r="C94" s="3" t="s">
        <v>23</v>
      </c>
      <c r="D94" s="3" t="s">
        <v>43</v>
      </c>
      <c r="E94" s="3" t="s">
        <v>51</v>
      </c>
      <c r="F94" s="3" t="s">
        <v>53</v>
      </c>
      <c r="G94" s="3" t="s">
        <v>25</v>
      </c>
      <c r="H94" s="3" t="s">
        <v>25</v>
      </c>
      <c r="I94" s="6">
        <v>44774</v>
      </c>
      <c r="J94" s="4">
        <v>0</v>
      </c>
      <c r="K94" s="4">
        <v>0</v>
      </c>
      <c r="L94" s="4">
        <v>0.98399999999999999</v>
      </c>
      <c r="M94" s="4">
        <v>0.39360000000000001</v>
      </c>
      <c r="N94" s="4">
        <v>0.98399999999999999</v>
      </c>
      <c r="O94" s="4">
        <v>0.39360000000000001</v>
      </c>
      <c r="P94" s="4">
        <v>0</v>
      </c>
      <c r="Q94" s="3" t="s">
        <v>26</v>
      </c>
      <c r="R94" s="3">
        <v>0</v>
      </c>
      <c r="S94" s="3">
        <v>0</v>
      </c>
      <c r="T94" s="3">
        <v>31</v>
      </c>
      <c r="U94" s="3">
        <v>69</v>
      </c>
      <c r="V94" s="4">
        <f>IF(ISERROR(VLOOKUP($S$94,'TAR FIN'!$A$1:$O$88,15,0)),0,VLOOKUP($S$94,'TAR FIN'!$A$1:$O$88,15,0))</f>
        <v>0</v>
      </c>
      <c r="W94" s="4">
        <f>IF(ISERROR(VLOOKUP($T$94,'TAR FIN'!$A$1:$O$88,15,0)),0,VLOOKUP($T$94,'TAR FIN'!$A$1:$O$88,15,0))</f>
        <v>269.45</v>
      </c>
      <c r="X94" s="4">
        <f>IF(ISERROR(VLOOKUP($U$94,'TAR FIN'!$A$1:$O$88,15,0)),0,VLOOKUP($U$94,'TAR FIN'!$A$1:$O$88,15,0))</f>
        <v>213.27</v>
      </c>
      <c r="Y94" s="4"/>
      <c r="Z94" s="4">
        <f ca="1">('TUSD BE'!$AM$33+'TUSD BF'!$AM$33+'TUSD CVA'!$AM$33)*(1-CUSTOS!$M$38)</f>
        <v>421.14033355107131</v>
      </c>
      <c r="AA94" s="4">
        <f>('TE BE'!$AB$23+'TE BF'!$AB$23+'TE CVA'!$AB$23)*(1-CUSTOS!$M$38)</f>
        <v>179.54706321936715</v>
      </c>
      <c r="AB94" s="4">
        <f t="shared" si="6"/>
        <v>0</v>
      </c>
      <c r="AC94" s="4">
        <f>(L94-M94)*(W94+X94)+($W$2+$X$2-$W$94-$X$94)*(L94)</f>
        <v>349.764768</v>
      </c>
      <c r="AD94" s="4">
        <f t="shared" si="7"/>
        <v>0</v>
      </c>
      <c r="AE94" s="4">
        <f ca="1">(L94-M94)*(Z94+AA94)+($Z$2+$AA$2-$Z$94-$AA$94)*(L94)</f>
        <v>392.37411980361446</v>
      </c>
      <c r="AF94" s="3" t="s">
        <v>626</v>
      </c>
    </row>
    <row r="95" spans="1:32" ht="11.25" customHeight="1" x14ac:dyDescent="0.3">
      <c r="A95" s="3" t="s">
        <v>21</v>
      </c>
      <c r="B95" s="3" t="s">
        <v>42</v>
      </c>
      <c r="C95" s="3" t="s">
        <v>23</v>
      </c>
      <c r="D95" s="3" t="s">
        <v>43</v>
      </c>
      <c r="E95" s="3" t="s">
        <v>54</v>
      </c>
      <c r="F95" s="3" t="s">
        <v>52</v>
      </c>
      <c r="G95" s="3" t="s">
        <v>25</v>
      </c>
      <c r="H95" s="3" t="s">
        <v>25</v>
      </c>
      <c r="I95" s="6">
        <v>44440</v>
      </c>
      <c r="J95" s="4">
        <v>0</v>
      </c>
      <c r="K95" s="4">
        <v>0</v>
      </c>
      <c r="L95" s="4">
        <v>0.24399999999999999</v>
      </c>
      <c r="M95" s="4">
        <v>0.24399999999999999</v>
      </c>
      <c r="N95" s="4">
        <v>0.24399999999999999</v>
      </c>
      <c r="O95" s="4">
        <v>0.24399999999999999</v>
      </c>
      <c r="P95" s="4">
        <v>0</v>
      </c>
      <c r="Q95" s="3" t="s">
        <v>26</v>
      </c>
      <c r="R95" s="3">
        <v>0</v>
      </c>
      <c r="S95" s="3">
        <v>0</v>
      </c>
      <c r="T95" s="3">
        <v>31</v>
      </c>
      <c r="U95" s="3">
        <v>69</v>
      </c>
      <c r="V95" s="4">
        <f>IF(ISERROR(VLOOKUP($S$95,'TAR FIN'!$A$1:$O$88,15,0)),0,VLOOKUP($S$95,'TAR FIN'!$A$1:$O$88,15,0))</f>
        <v>0</v>
      </c>
      <c r="W95" s="4">
        <f>IF(ISERROR(VLOOKUP($T$95,'TAR FIN'!$A$1:$O$88,15,0)),0,VLOOKUP($T$95,'TAR FIN'!$A$1:$O$88,15,0))</f>
        <v>269.45</v>
      </c>
      <c r="X95" s="4">
        <f>IF(ISERROR(VLOOKUP($U$95,'TAR FIN'!$A$1:$O$88,15,0)),0,VLOOKUP($U$95,'TAR FIN'!$A$1:$O$88,15,0))</f>
        <v>213.27</v>
      </c>
      <c r="Y95" s="4"/>
      <c r="Z95" s="4">
        <f ca="1">('TUSD BE'!$AM$33+'TUSD BF'!$AM$33+'TUSD CVA'!$AM$33)*(1-CUSTOS!$M$38)</f>
        <v>421.14033355107131</v>
      </c>
      <c r="AA95" s="4">
        <f>('TE BE'!$AB$23+'TE BF'!$AB$23+'TE CVA'!$AB$23)*(1-CUSTOS!$M$38)</f>
        <v>179.54706321936715</v>
      </c>
      <c r="AB95" s="4">
        <f t="shared" si="6"/>
        <v>0</v>
      </c>
      <c r="AC95" s="4">
        <f>(L95-M95)*(W95+X95)+($W$2+$X$2-$W$95-$X$95)*(L95)</f>
        <v>16.060079999999992</v>
      </c>
      <c r="AD95" s="4">
        <f t="shared" si="7"/>
        <v>0</v>
      </c>
      <c r="AE95" s="4">
        <f ca="1">(L95-M95)*(Z95+AA95)+($Z$2+$AA$2-$Z$95-$AA$95)*(L95)</f>
        <v>9.3553866901268385</v>
      </c>
      <c r="AF95" s="3" t="s">
        <v>625</v>
      </c>
    </row>
    <row r="96" spans="1:32" ht="11.25" customHeight="1" x14ac:dyDescent="0.3">
      <c r="A96" s="3" t="s">
        <v>21</v>
      </c>
      <c r="B96" s="3" t="s">
        <v>42</v>
      </c>
      <c r="C96" s="3" t="s">
        <v>23</v>
      </c>
      <c r="D96" s="3" t="s">
        <v>43</v>
      </c>
      <c r="E96" s="3" t="s">
        <v>54</v>
      </c>
      <c r="F96" s="3" t="s">
        <v>52</v>
      </c>
      <c r="G96" s="3" t="s">
        <v>25</v>
      </c>
      <c r="H96" s="3" t="s">
        <v>25</v>
      </c>
      <c r="I96" s="6">
        <v>44470</v>
      </c>
      <c r="J96" s="4">
        <v>0</v>
      </c>
      <c r="K96" s="4">
        <v>0</v>
      </c>
      <c r="L96" s="4">
        <v>0.17899999999999999</v>
      </c>
      <c r="M96" s="4">
        <v>0.17899999999999999</v>
      </c>
      <c r="N96" s="4">
        <v>0.17899999999999999</v>
      </c>
      <c r="O96" s="4">
        <v>0.17899999999999999</v>
      </c>
      <c r="P96" s="4">
        <v>0</v>
      </c>
      <c r="Q96" s="3" t="s">
        <v>26</v>
      </c>
      <c r="R96" s="3">
        <v>0</v>
      </c>
      <c r="S96" s="3">
        <v>0</v>
      </c>
      <c r="T96" s="3">
        <v>31</v>
      </c>
      <c r="U96" s="3">
        <v>69</v>
      </c>
      <c r="V96" s="4">
        <f>IF(ISERROR(VLOOKUP($S$96,'TAR FIN'!$A$1:$O$88,15,0)),0,VLOOKUP($S$96,'TAR FIN'!$A$1:$O$88,15,0))</f>
        <v>0</v>
      </c>
      <c r="W96" s="4">
        <f>IF(ISERROR(VLOOKUP($T$96,'TAR FIN'!$A$1:$O$88,15,0)),0,VLOOKUP($T$96,'TAR FIN'!$A$1:$O$88,15,0))</f>
        <v>269.45</v>
      </c>
      <c r="X96" s="4">
        <f>IF(ISERROR(VLOOKUP($U$96,'TAR FIN'!$A$1:$O$88,15,0)),0,VLOOKUP($U$96,'TAR FIN'!$A$1:$O$88,15,0))</f>
        <v>213.27</v>
      </c>
      <c r="Y96" s="4"/>
      <c r="Z96" s="4">
        <f ca="1">('TUSD BE'!$AM$33+'TUSD BF'!$AM$33+'TUSD CVA'!$AM$33)*(1-CUSTOS!$M$38)</f>
        <v>421.14033355107131</v>
      </c>
      <c r="AA96" s="4">
        <f>('TE BE'!$AB$23+'TE BF'!$AB$23+'TE CVA'!$AB$23)*(1-CUSTOS!$M$38)</f>
        <v>179.54706321936715</v>
      </c>
      <c r="AB96" s="4">
        <f t="shared" si="6"/>
        <v>0</v>
      </c>
      <c r="AC96" s="4">
        <f>(L96-M96)*(W96+X96)+($W$2+$X$2-$W$96-$X$96)*(L96)</f>
        <v>11.781779999999992</v>
      </c>
      <c r="AD96" s="4">
        <f t="shared" si="7"/>
        <v>0</v>
      </c>
      <c r="AE96" s="4">
        <f ca="1">(L96-M96)*(Z96+AA96)+($Z$2+$AA$2-$Z$96-$AA$96)*(L96)</f>
        <v>6.8631730226750172</v>
      </c>
      <c r="AF96" s="3" t="s">
        <v>625</v>
      </c>
    </row>
    <row r="97" spans="1:32" ht="11.25" customHeight="1" x14ac:dyDescent="0.3">
      <c r="A97" s="3" t="s">
        <v>21</v>
      </c>
      <c r="B97" s="3" t="s">
        <v>42</v>
      </c>
      <c r="C97" s="3" t="s">
        <v>23</v>
      </c>
      <c r="D97" s="3" t="s">
        <v>43</v>
      </c>
      <c r="E97" s="3" t="s">
        <v>54</v>
      </c>
      <c r="F97" s="3" t="s">
        <v>52</v>
      </c>
      <c r="G97" s="3" t="s">
        <v>25</v>
      </c>
      <c r="H97" s="3" t="s">
        <v>25</v>
      </c>
      <c r="I97" s="6">
        <v>44501</v>
      </c>
      <c r="J97" s="4">
        <v>0</v>
      </c>
      <c r="K97" s="4">
        <v>0</v>
      </c>
      <c r="L97" s="4">
        <v>0.47499999999999998</v>
      </c>
      <c r="M97" s="4">
        <v>0.47499999999999998</v>
      </c>
      <c r="N97" s="4">
        <v>0.47499999999999998</v>
      </c>
      <c r="O97" s="4">
        <v>0.47499999999999998</v>
      </c>
      <c r="P97" s="4">
        <v>0</v>
      </c>
      <c r="Q97" s="3" t="s">
        <v>26</v>
      </c>
      <c r="R97" s="3">
        <v>0</v>
      </c>
      <c r="S97" s="3">
        <v>0</v>
      </c>
      <c r="T97" s="3">
        <v>31</v>
      </c>
      <c r="U97" s="3">
        <v>69</v>
      </c>
      <c r="V97" s="4">
        <f>IF(ISERROR(VLOOKUP($S$97,'TAR FIN'!$A$1:$O$88,15,0)),0,VLOOKUP($S$97,'TAR FIN'!$A$1:$O$88,15,0))</f>
        <v>0</v>
      </c>
      <c r="W97" s="4">
        <f>IF(ISERROR(VLOOKUP($T$97,'TAR FIN'!$A$1:$O$88,15,0)),0,VLOOKUP($T$97,'TAR FIN'!$A$1:$O$88,15,0))</f>
        <v>269.45</v>
      </c>
      <c r="X97" s="4">
        <f>IF(ISERROR(VLOOKUP($U$97,'TAR FIN'!$A$1:$O$88,15,0)),0,VLOOKUP($U$97,'TAR FIN'!$A$1:$O$88,15,0))</f>
        <v>213.27</v>
      </c>
      <c r="Y97" s="4"/>
      <c r="Z97" s="4">
        <f ca="1">('TUSD BE'!$AM$33+'TUSD BF'!$AM$33+'TUSD CVA'!$AM$33)*(1-CUSTOS!$M$38)</f>
        <v>421.14033355107131</v>
      </c>
      <c r="AA97" s="4">
        <f>('TE BE'!$AB$23+'TE BF'!$AB$23+'TE CVA'!$AB$23)*(1-CUSTOS!$M$38)</f>
        <v>179.54706321936715</v>
      </c>
      <c r="AB97" s="4">
        <f t="shared" si="6"/>
        <v>0</v>
      </c>
      <c r="AC97" s="4">
        <f>(L97-M97)*(W97+X97)+($W$2+$X$2-$W$97-$X$97)*(L97)</f>
        <v>31.26449999999998</v>
      </c>
      <c r="AD97" s="4">
        <f t="shared" si="7"/>
        <v>0</v>
      </c>
      <c r="AE97" s="4">
        <f ca="1">(L97-M97)*(Z97+AA97)+($Z$2+$AA$2-$Z$97-$AA$97)*(L97)</f>
        <v>18.212330646763313</v>
      </c>
      <c r="AF97" s="3" t="s">
        <v>625</v>
      </c>
    </row>
    <row r="98" spans="1:32" ht="11.25" customHeight="1" x14ac:dyDescent="0.3">
      <c r="A98" s="3" t="s">
        <v>21</v>
      </c>
      <c r="B98" s="3" t="s">
        <v>42</v>
      </c>
      <c r="C98" s="3" t="s">
        <v>23</v>
      </c>
      <c r="D98" s="3" t="s">
        <v>43</v>
      </c>
      <c r="E98" s="3" t="s">
        <v>54</v>
      </c>
      <c r="F98" s="3" t="s">
        <v>52</v>
      </c>
      <c r="G98" s="3" t="s">
        <v>25</v>
      </c>
      <c r="H98" s="3" t="s">
        <v>25</v>
      </c>
      <c r="I98" s="6">
        <v>44531</v>
      </c>
      <c r="J98" s="4">
        <v>0</v>
      </c>
      <c r="K98" s="4">
        <v>0</v>
      </c>
      <c r="L98" s="4">
        <v>0.35299999999999998</v>
      </c>
      <c r="M98" s="4">
        <v>0.35299999999999998</v>
      </c>
      <c r="N98" s="4">
        <v>0.35299999999999998</v>
      </c>
      <c r="O98" s="4">
        <v>0.35299999999999998</v>
      </c>
      <c r="P98" s="4">
        <v>0</v>
      </c>
      <c r="Q98" s="3" t="s">
        <v>26</v>
      </c>
      <c r="R98" s="3">
        <v>0</v>
      </c>
      <c r="S98" s="3">
        <v>0</v>
      </c>
      <c r="T98" s="3">
        <v>31</v>
      </c>
      <c r="U98" s="3">
        <v>69</v>
      </c>
      <c r="V98" s="4">
        <f>IF(ISERROR(VLOOKUP($S$98,'TAR FIN'!$A$1:$O$88,15,0)),0,VLOOKUP($S$98,'TAR FIN'!$A$1:$O$88,15,0))</f>
        <v>0</v>
      </c>
      <c r="W98" s="4">
        <f>IF(ISERROR(VLOOKUP($T$98,'TAR FIN'!$A$1:$O$88,15,0)),0,VLOOKUP($T$98,'TAR FIN'!$A$1:$O$88,15,0))</f>
        <v>269.45</v>
      </c>
      <c r="X98" s="4">
        <f>IF(ISERROR(VLOOKUP($U$98,'TAR FIN'!$A$1:$O$88,15,0)),0,VLOOKUP($U$98,'TAR FIN'!$A$1:$O$88,15,0))</f>
        <v>213.27</v>
      </c>
      <c r="Y98" s="4"/>
      <c r="Z98" s="4">
        <f ca="1">('TUSD BE'!$AM$33+'TUSD BF'!$AM$33+'TUSD CVA'!$AM$33)*(1-CUSTOS!$M$38)</f>
        <v>421.14033355107131</v>
      </c>
      <c r="AA98" s="4">
        <f>('TE BE'!$AB$23+'TE BF'!$AB$23+'TE CVA'!$AB$23)*(1-CUSTOS!$M$38)</f>
        <v>179.54706321936715</v>
      </c>
      <c r="AB98" s="4">
        <f t="shared" ref="AB98:AB129" si="8">(J98-K98)*V98</f>
        <v>0</v>
      </c>
      <c r="AC98" s="4">
        <f>(L98-M98)*(W98+X98)+($W$2+$X$2-$W$98-$X$98)*(L98)</f>
        <v>23.234459999999988</v>
      </c>
      <c r="AD98" s="4">
        <f t="shared" ref="AD98:AD129" si="9">(J98-K98)*Y98</f>
        <v>0</v>
      </c>
      <c r="AE98" s="4">
        <f ca="1">(L98-M98)*(Z98+AA98)+($Z$2+$AA$2-$Z$98-$AA$98)*(L98)</f>
        <v>13.534637301699894</v>
      </c>
      <c r="AF98" s="3" t="s">
        <v>625</v>
      </c>
    </row>
    <row r="99" spans="1:32" ht="11.25" customHeight="1" x14ac:dyDescent="0.3">
      <c r="A99" s="3" t="s">
        <v>21</v>
      </c>
      <c r="B99" s="3" t="s">
        <v>42</v>
      </c>
      <c r="C99" s="3" t="s">
        <v>23</v>
      </c>
      <c r="D99" s="3" t="s">
        <v>43</v>
      </c>
      <c r="E99" s="3" t="s">
        <v>54</v>
      </c>
      <c r="F99" s="3" t="s">
        <v>52</v>
      </c>
      <c r="G99" s="3" t="s">
        <v>25</v>
      </c>
      <c r="H99" s="3" t="s">
        <v>25</v>
      </c>
      <c r="I99" s="6">
        <v>44562</v>
      </c>
      <c r="J99" s="4">
        <v>0</v>
      </c>
      <c r="K99" s="4">
        <v>0</v>
      </c>
      <c r="L99" s="4">
        <v>0.81200000000000006</v>
      </c>
      <c r="M99" s="4">
        <v>0.81200000000000006</v>
      </c>
      <c r="N99" s="4">
        <v>0.81200000000000006</v>
      </c>
      <c r="O99" s="4">
        <v>0.81200000000000006</v>
      </c>
      <c r="P99" s="4">
        <v>0</v>
      </c>
      <c r="Q99" s="3" t="s">
        <v>26</v>
      </c>
      <c r="R99" s="3">
        <v>0</v>
      </c>
      <c r="S99" s="3">
        <v>0</v>
      </c>
      <c r="T99" s="3">
        <v>31</v>
      </c>
      <c r="U99" s="3">
        <v>69</v>
      </c>
      <c r="V99" s="4">
        <f>IF(ISERROR(VLOOKUP($S$99,'TAR FIN'!$A$1:$O$88,15,0)),0,VLOOKUP($S$99,'TAR FIN'!$A$1:$O$88,15,0))</f>
        <v>0</v>
      </c>
      <c r="W99" s="4">
        <f>IF(ISERROR(VLOOKUP($T$99,'TAR FIN'!$A$1:$O$88,15,0)),0,VLOOKUP($T$99,'TAR FIN'!$A$1:$O$88,15,0))</f>
        <v>269.45</v>
      </c>
      <c r="X99" s="4">
        <f>IF(ISERROR(VLOOKUP($U$99,'TAR FIN'!$A$1:$O$88,15,0)),0,VLOOKUP($U$99,'TAR FIN'!$A$1:$O$88,15,0))</f>
        <v>213.27</v>
      </c>
      <c r="Y99" s="4"/>
      <c r="Z99" s="4">
        <f ca="1">('TUSD BE'!$AM$33+'TUSD BF'!$AM$33+'TUSD CVA'!$AM$33)*(1-CUSTOS!$M$38)</f>
        <v>421.14033355107131</v>
      </c>
      <c r="AA99" s="4">
        <f>('TE BE'!$AB$23+'TE BF'!$AB$23+'TE CVA'!$AB$23)*(1-CUSTOS!$M$38)</f>
        <v>179.54706321936715</v>
      </c>
      <c r="AB99" s="4">
        <f t="shared" si="8"/>
        <v>0</v>
      </c>
      <c r="AC99" s="4">
        <f>(L99-M99)*(W99+X99)+($W$2+$X$2-$W$99-$X$99)*(L99)</f>
        <v>53.445839999999976</v>
      </c>
      <c r="AD99" s="4">
        <f t="shared" si="9"/>
        <v>0</v>
      </c>
      <c r="AE99" s="4">
        <f ca="1">(L99-M99)*(Z99+AA99)+($Z$2+$AA$2-$Z$99-$AA$99)*(L99)</f>
        <v>31.133499968782761</v>
      </c>
      <c r="AF99" s="3" t="s">
        <v>625</v>
      </c>
    </row>
    <row r="100" spans="1:32" ht="11.25" customHeight="1" x14ac:dyDescent="0.3">
      <c r="A100" s="3" t="s">
        <v>21</v>
      </c>
      <c r="B100" s="3" t="s">
        <v>42</v>
      </c>
      <c r="C100" s="3" t="s">
        <v>23</v>
      </c>
      <c r="D100" s="3" t="s">
        <v>43</v>
      </c>
      <c r="E100" s="3" t="s">
        <v>54</v>
      </c>
      <c r="F100" s="3" t="s">
        <v>52</v>
      </c>
      <c r="G100" s="3" t="s">
        <v>25</v>
      </c>
      <c r="H100" s="3" t="s">
        <v>25</v>
      </c>
      <c r="I100" s="6">
        <v>44593</v>
      </c>
      <c r="J100" s="4">
        <v>0</v>
      </c>
      <c r="K100" s="4">
        <v>0</v>
      </c>
      <c r="L100" s="4">
        <v>0.88600000000000001</v>
      </c>
      <c r="M100" s="4">
        <v>0.88600000000000001</v>
      </c>
      <c r="N100" s="4">
        <v>0.88600000000000001</v>
      </c>
      <c r="O100" s="4">
        <v>0.88600000000000001</v>
      </c>
      <c r="P100" s="4">
        <v>0</v>
      </c>
      <c r="Q100" s="3" t="s">
        <v>26</v>
      </c>
      <c r="R100" s="3">
        <v>0</v>
      </c>
      <c r="S100" s="3">
        <v>0</v>
      </c>
      <c r="T100" s="3">
        <v>31</v>
      </c>
      <c r="U100" s="3">
        <v>69</v>
      </c>
      <c r="V100" s="4">
        <f>IF(ISERROR(VLOOKUP($S$100,'TAR FIN'!$A$1:$O$88,15,0)),0,VLOOKUP($S$100,'TAR FIN'!$A$1:$O$88,15,0))</f>
        <v>0</v>
      </c>
      <c r="W100" s="4">
        <f>IF(ISERROR(VLOOKUP($T$100,'TAR FIN'!$A$1:$O$88,15,0)),0,VLOOKUP($T$100,'TAR FIN'!$A$1:$O$88,15,0))</f>
        <v>269.45</v>
      </c>
      <c r="X100" s="4">
        <f>IF(ISERROR(VLOOKUP($U$100,'TAR FIN'!$A$1:$O$88,15,0)),0,VLOOKUP($U$100,'TAR FIN'!$A$1:$O$88,15,0))</f>
        <v>213.27</v>
      </c>
      <c r="Y100" s="4"/>
      <c r="Z100" s="4">
        <f ca="1">('TUSD BE'!$AM$33+'TUSD BF'!$AM$33+'TUSD CVA'!$AM$33)*(1-CUSTOS!$M$38)</f>
        <v>421.14033355107131</v>
      </c>
      <c r="AA100" s="4">
        <f>('TE BE'!$AB$23+'TE BF'!$AB$23+'TE CVA'!$AB$23)*(1-CUSTOS!$M$38)</f>
        <v>179.54706321936715</v>
      </c>
      <c r="AB100" s="4">
        <f t="shared" si="8"/>
        <v>0</v>
      </c>
      <c r="AC100" s="4">
        <f>(L100-M100)*(W100+X100)+($W$2+$X$2-$W$100-$X$100)*(L100)</f>
        <v>58.316519999999969</v>
      </c>
      <c r="AD100" s="4">
        <f t="shared" si="9"/>
        <v>0</v>
      </c>
      <c r="AE100" s="4">
        <f ca="1">(L100-M100)*(Z100+AA100)+($Z$2+$AA$2-$Z$100-$AA$100)*(L100)</f>
        <v>33.970789374804838</v>
      </c>
      <c r="AF100" s="3" t="s">
        <v>625</v>
      </c>
    </row>
    <row r="101" spans="1:32" ht="11.25" customHeight="1" x14ac:dyDescent="0.3">
      <c r="A101" s="3" t="s">
        <v>21</v>
      </c>
      <c r="B101" s="3" t="s">
        <v>42</v>
      </c>
      <c r="C101" s="3" t="s">
        <v>23</v>
      </c>
      <c r="D101" s="3" t="s">
        <v>43</v>
      </c>
      <c r="E101" s="3" t="s">
        <v>54</v>
      </c>
      <c r="F101" s="3" t="s">
        <v>52</v>
      </c>
      <c r="G101" s="3" t="s">
        <v>25</v>
      </c>
      <c r="H101" s="3" t="s">
        <v>25</v>
      </c>
      <c r="I101" s="6">
        <v>44621</v>
      </c>
      <c r="J101" s="4">
        <v>0</v>
      </c>
      <c r="K101" s="4">
        <v>0</v>
      </c>
      <c r="L101" s="4">
        <v>1.085</v>
      </c>
      <c r="M101" s="4">
        <v>1.085</v>
      </c>
      <c r="N101" s="4">
        <v>1.085</v>
      </c>
      <c r="O101" s="4">
        <v>1.085</v>
      </c>
      <c r="P101" s="4">
        <v>0</v>
      </c>
      <c r="Q101" s="3" t="s">
        <v>26</v>
      </c>
      <c r="R101" s="3">
        <v>0</v>
      </c>
      <c r="S101" s="3">
        <v>0</v>
      </c>
      <c r="T101" s="3">
        <v>31</v>
      </c>
      <c r="U101" s="3">
        <v>69</v>
      </c>
      <c r="V101" s="4">
        <f>IF(ISERROR(VLOOKUP($S$101,'TAR FIN'!$A$1:$O$88,15,0)),0,VLOOKUP($S$101,'TAR FIN'!$A$1:$O$88,15,0))</f>
        <v>0</v>
      </c>
      <c r="W101" s="4">
        <f>IF(ISERROR(VLOOKUP($T$101,'TAR FIN'!$A$1:$O$88,15,0)),0,VLOOKUP($T$101,'TAR FIN'!$A$1:$O$88,15,0))</f>
        <v>269.45</v>
      </c>
      <c r="X101" s="4">
        <f>IF(ISERROR(VLOOKUP($U$101,'TAR FIN'!$A$1:$O$88,15,0)),0,VLOOKUP($U$101,'TAR FIN'!$A$1:$O$88,15,0))</f>
        <v>213.27</v>
      </c>
      <c r="Y101" s="4"/>
      <c r="Z101" s="4">
        <f ca="1">('TUSD BE'!$AM$33+'TUSD BF'!$AM$33+'TUSD CVA'!$AM$33)*(1-CUSTOS!$M$38)</f>
        <v>421.14033355107131</v>
      </c>
      <c r="AA101" s="4">
        <f>('TE BE'!$AB$23+'TE BF'!$AB$23+'TE CVA'!$AB$23)*(1-CUSTOS!$M$38)</f>
        <v>179.54706321936715</v>
      </c>
      <c r="AB101" s="4">
        <f t="shared" si="8"/>
        <v>0</v>
      </c>
      <c r="AC101" s="4">
        <f>(L101-M101)*(W101+X101)+($W$2+$X$2-$W$101-$X$101)*(L101)</f>
        <v>71.414699999999954</v>
      </c>
      <c r="AD101" s="4">
        <f t="shared" si="9"/>
        <v>0</v>
      </c>
      <c r="AE101" s="4">
        <f ca="1">(L101-M101)*(Z101+AA101)+($Z$2+$AA$2-$Z$101-$AA$101)*(L101)</f>
        <v>41.600797372080415</v>
      </c>
      <c r="AF101" s="3" t="s">
        <v>625</v>
      </c>
    </row>
    <row r="102" spans="1:32" ht="11.25" customHeight="1" x14ac:dyDescent="0.3">
      <c r="A102" s="3" t="s">
        <v>21</v>
      </c>
      <c r="B102" s="3" t="s">
        <v>42</v>
      </c>
      <c r="C102" s="3" t="s">
        <v>23</v>
      </c>
      <c r="D102" s="3" t="s">
        <v>43</v>
      </c>
      <c r="E102" s="3" t="s">
        <v>54</v>
      </c>
      <c r="F102" s="3" t="s">
        <v>52</v>
      </c>
      <c r="G102" s="3" t="s">
        <v>25</v>
      </c>
      <c r="H102" s="3" t="s">
        <v>25</v>
      </c>
      <c r="I102" s="6">
        <v>44652</v>
      </c>
      <c r="J102" s="4">
        <v>0</v>
      </c>
      <c r="K102" s="4">
        <v>0</v>
      </c>
      <c r="L102" s="4">
        <v>1.05</v>
      </c>
      <c r="M102" s="4">
        <v>1.05</v>
      </c>
      <c r="N102" s="4">
        <v>1.05</v>
      </c>
      <c r="O102" s="4">
        <v>1.05</v>
      </c>
      <c r="P102" s="4">
        <v>0</v>
      </c>
      <c r="Q102" s="3" t="s">
        <v>26</v>
      </c>
      <c r="R102" s="3">
        <v>0</v>
      </c>
      <c r="S102" s="3">
        <v>0</v>
      </c>
      <c r="T102" s="3">
        <v>31</v>
      </c>
      <c r="U102" s="3">
        <v>69</v>
      </c>
      <c r="V102" s="4">
        <f>IF(ISERROR(VLOOKUP($S$102,'TAR FIN'!$A$1:$O$88,15,0)),0,VLOOKUP($S$102,'TAR FIN'!$A$1:$O$88,15,0))</f>
        <v>0</v>
      </c>
      <c r="W102" s="4">
        <f>IF(ISERROR(VLOOKUP($T$102,'TAR FIN'!$A$1:$O$88,15,0)),0,VLOOKUP($T$102,'TAR FIN'!$A$1:$O$88,15,0))</f>
        <v>269.45</v>
      </c>
      <c r="X102" s="4">
        <f>IF(ISERROR(VLOOKUP($U$102,'TAR FIN'!$A$1:$O$88,15,0)),0,VLOOKUP($U$102,'TAR FIN'!$A$1:$O$88,15,0))</f>
        <v>213.27</v>
      </c>
      <c r="Y102" s="4"/>
      <c r="Z102" s="4">
        <f ca="1">('TUSD BE'!$AM$33+'TUSD BF'!$AM$33+'TUSD CVA'!$AM$33)*(1-CUSTOS!$M$38)</f>
        <v>421.14033355107131</v>
      </c>
      <c r="AA102" s="4">
        <f>('TE BE'!$AB$23+'TE BF'!$AB$23+'TE CVA'!$AB$23)*(1-CUSTOS!$M$38)</f>
        <v>179.54706321936715</v>
      </c>
      <c r="AB102" s="4">
        <f t="shared" si="8"/>
        <v>0</v>
      </c>
      <c r="AC102" s="4">
        <f>(L102-M102)*(W102+X102)+($W$2+$X$2-$W$102-$X$102)*(L102)</f>
        <v>69.110999999999962</v>
      </c>
      <c r="AD102" s="4">
        <f t="shared" si="9"/>
        <v>0</v>
      </c>
      <c r="AE102" s="4">
        <f ca="1">(L102-M102)*(Z102+AA102)+($Z$2+$AA$2-$Z$102-$AA$102)*(L102)</f>
        <v>40.258836166529434</v>
      </c>
      <c r="AF102" s="3" t="s">
        <v>625</v>
      </c>
    </row>
    <row r="103" spans="1:32" ht="11.25" customHeight="1" x14ac:dyDescent="0.3">
      <c r="A103" s="3" t="s">
        <v>21</v>
      </c>
      <c r="B103" s="3" t="s">
        <v>42</v>
      </c>
      <c r="C103" s="3" t="s">
        <v>23</v>
      </c>
      <c r="D103" s="3" t="s">
        <v>43</v>
      </c>
      <c r="E103" s="3" t="s">
        <v>54</v>
      </c>
      <c r="F103" s="3" t="s">
        <v>52</v>
      </c>
      <c r="G103" s="3" t="s">
        <v>25</v>
      </c>
      <c r="H103" s="3" t="s">
        <v>25</v>
      </c>
      <c r="I103" s="6">
        <v>44682</v>
      </c>
      <c r="J103" s="4">
        <v>0</v>
      </c>
      <c r="K103" s="4">
        <v>0</v>
      </c>
      <c r="L103" s="4">
        <v>0.69499999999999995</v>
      </c>
      <c r="M103" s="4">
        <v>0.69499999999999995</v>
      </c>
      <c r="N103" s="4">
        <v>0.69499999999999995</v>
      </c>
      <c r="O103" s="4">
        <v>0.69499999999999995</v>
      </c>
      <c r="P103" s="4">
        <v>0</v>
      </c>
      <c r="Q103" s="3" t="s">
        <v>26</v>
      </c>
      <c r="R103" s="3">
        <v>0</v>
      </c>
      <c r="S103" s="3">
        <v>0</v>
      </c>
      <c r="T103" s="3">
        <v>31</v>
      </c>
      <c r="U103" s="3">
        <v>69</v>
      </c>
      <c r="V103" s="4">
        <f>IF(ISERROR(VLOOKUP($S$103,'TAR FIN'!$A$1:$O$88,15,0)),0,VLOOKUP($S$103,'TAR FIN'!$A$1:$O$88,15,0))</f>
        <v>0</v>
      </c>
      <c r="W103" s="4">
        <f>IF(ISERROR(VLOOKUP($T$103,'TAR FIN'!$A$1:$O$88,15,0)),0,VLOOKUP($T$103,'TAR FIN'!$A$1:$O$88,15,0))</f>
        <v>269.45</v>
      </c>
      <c r="X103" s="4">
        <f>IF(ISERROR(VLOOKUP($U$103,'TAR FIN'!$A$1:$O$88,15,0)),0,VLOOKUP($U$103,'TAR FIN'!$A$1:$O$88,15,0))</f>
        <v>213.27</v>
      </c>
      <c r="Y103" s="4"/>
      <c r="Z103" s="4">
        <f ca="1">('TUSD BE'!$AM$33+'TUSD BF'!$AM$33+'TUSD CVA'!$AM$33)*(1-CUSTOS!$M$38)</f>
        <v>421.14033355107131</v>
      </c>
      <c r="AA103" s="4">
        <f>('TE BE'!$AB$23+'TE BF'!$AB$23+'TE CVA'!$AB$23)*(1-CUSTOS!$M$38)</f>
        <v>179.54706321936715</v>
      </c>
      <c r="AB103" s="4">
        <f t="shared" si="8"/>
        <v>0</v>
      </c>
      <c r="AC103" s="4">
        <f>(L103-M103)*(W103+X103)+($W$2+$X$2-$W$103-$X$103)*(L103)</f>
        <v>45.744899999999973</v>
      </c>
      <c r="AD103" s="4">
        <f t="shared" si="9"/>
        <v>0</v>
      </c>
      <c r="AE103" s="4">
        <f ca="1">(L103-M103)*(Z103+AA103)+($Z$2+$AA$2-$Z$103-$AA$103)*(L103)</f>
        <v>26.647515367369479</v>
      </c>
      <c r="AF103" s="3" t="s">
        <v>625</v>
      </c>
    </row>
    <row r="104" spans="1:32" ht="11.25" customHeight="1" x14ac:dyDescent="0.3">
      <c r="A104" s="3" t="s">
        <v>21</v>
      </c>
      <c r="B104" s="3" t="s">
        <v>42</v>
      </c>
      <c r="C104" s="3" t="s">
        <v>23</v>
      </c>
      <c r="D104" s="3" t="s">
        <v>43</v>
      </c>
      <c r="E104" s="3" t="s">
        <v>54</v>
      </c>
      <c r="F104" s="3" t="s">
        <v>52</v>
      </c>
      <c r="G104" s="3" t="s">
        <v>25</v>
      </c>
      <c r="H104" s="3" t="s">
        <v>25</v>
      </c>
      <c r="I104" s="6">
        <v>44713</v>
      </c>
      <c r="J104" s="4">
        <v>0</v>
      </c>
      <c r="K104" s="4">
        <v>0</v>
      </c>
      <c r="L104" s="4">
        <v>0.20899999999999999</v>
      </c>
      <c r="M104" s="4">
        <v>0.20899999999999999</v>
      </c>
      <c r="N104" s="4">
        <v>0.20899999999999999</v>
      </c>
      <c r="O104" s="4">
        <v>0.20899999999999999</v>
      </c>
      <c r="P104" s="4">
        <v>0</v>
      </c>
      <c r="Q104" s="3" t="s">
        <v>26</v>
      </c>
      <c r="R104" s="3">
        <v>0</v>
      </c>
      <c r="S104" s="3">
        <v>0</v>
      </c>
      <c r="T104" s="3">
        <v>31</v>
      </c>
      <c r="U104" s="3">
        <v>69</v>
      </c>
      <c r="V104" s="4">
        <f>IF(ISERROR(VLOOKUP($S$104,'TAR FIN'!$A$1:$O$88,15,0)),0,VLOOKUP($S$104,'TAR FIN'!$A$1:$O$88,15,0))</f>
        <v>0</v>
      </c>
      <c r="W104" s="4">
        <f>IF(ISERROR(VLOOKUP($T$104,'TAR FIN'!$A$1:$O$88,15,0)),0,VLOOKUP($T$104,'TAR FIN'!$A$1:$O$88,15,0))</f>
        <v>269.45</v>
      </c>
      <c r="X104" s="4">
        <f>IF(ISERROR(VLOOKUP($U$104,'TAR FIN'!$A$1:$O$88,15,0)),0,VLOOKUP($U$104,'TAR FIN'!$A$1:$O$88,15,0))</f>
        <v>213.27</v>
      </c>
      <c r="Y104" s="4"/>
      <c r="Z104" s="4">
        <f ca="1">('TUSD BE'!$AM$33+'TUSD BF'!$AM$33+'TUSD CVA'!$AM$33)*(1-CUSTOS!$M$38)</f>
        <v>421.14033355107131</v>
      </c>
      <c r="AA104" s="4">
        <f>('TE BE'!$AB$23+'TE BF'!$AB$23+'TE CVA'!$AB$23)*(1-CUSTOS!$M$38)</f>
        <v>179.54706321936715</v>
      </c>
      <c r="AB104" s="4">
        <f t="shared" si="8"/>
        <v>0</v>
      </c>
      <c r="AC104" s="4">
        <f>(L104-M104)*(W104+X104)+($W$2+$X$2-$W$104-$X$104)*(L104)</f>
        <v>13.756379999999993</v>
      </c>
      <c r="AD104" s="4">
        <f t="shared" si="9"/>
        <v>0</v>
      </c>
      <c r="AE104" s="4">
        <f ca="1">(L104-M104)*(Z104+AA104)+($Z$2+$AA$2-$Z$104-$AA$104)*(L104)</f>
        <v>8.0134254845758583</v>
      </c>
      <c r="AF104" s="3" t="s">
        <v>625</v>
      </c>
    </row>
    <row r="105" spans="1:32" ht="11.25" customHeight="1" x14ac:dyDescent="0.3">
      <c r="A105" s="3" t="s">
        <v>21</v>
      </c>
      <c r="B105" s="3" t="s">
        <v>42</v>
      </c>
      <c r="C105" s="3" t="s">
        <v>23</v>
      </c>
      <c r="D105" s="3" t="s">
        <v>43</v>
      </c>
      <c r="E105" s="3" t="s">
        <v>54</v>
      </c>
      <c r="F105" s="3" t="s">
        <v>52</v>
      </c>
      <c r="G105" s="3" t="s">
        <v>25</v>
      </c>
      <c r="H105" s="3" t="s">
        <v>25</v>
      </c>
      <c r="I105" s="6">
        <v>44743</v>
      </c>
      <c r="J105" s="4">
        <v>0</v>
      </c>
      <c r="K105" s="4">
        <v>0</v>
      </c>
      <c r="L105" s="4">
        <v>0.16</v>
      </c>
      <c r="M105" s="4">
        <v>0.16</v>
      </c>
      <c r="N105" s="4">
        <v>0.16</v>
      </c>
      <c r="O105" s="4">
        <v>0.16</v>
      </c>
      <c r="P105" s="4">
        <v>0</v>
      </c>
      <c r="Q105" s="3" t="s">
        <v>26</v>
      </c>
      <c r="R105" s="3">
        <v>0</v>
      </c>
      <c r="S105" s="3">
        <v>0</v>
      </c>
      <c r="T105" s="3">
        <v>31</v>
      </c>
      <c r="U105" s="3">
        <v>69</v>
      </c>
      <c r="V105" s="4">
        <f>IF(ISERROR(VLOOKUP($S$105,'TAR FIN'!$A$1:$O$88,15,0)),0,VLOOKUP($S$105,'TAR FIN'!$A$1:$O$88,15,0))</f>
        <v>0</v>
      </c>
      <c r="W105" s="4">
        <f>IF(ISERROR(VLOOKUP($T$105,'TAR FIN'!$A$1:$O$88,15,0)),0,VLOOKUP($T$105,'TAR FIN'!$A$1:$O$88,15,0))</f>
        <v>269.45</v>
      </c>
      <c r="X105" s="4">
        <f>IF(ISERROR(VLOOKUP($U$105,'TAR FIN'!$A$1:$O$88,15,0)),0,VLOOKUP($U$105,'TAR FIN'!$A$1:$O$88,15,0))</f>
        <v>213.27</v>
      </c>
      <c r="Y105" s="4"/>
      <c r="Z105" s="4">
        <f ca="1">('TUSD BE'!$AM$33+'TUSD BF'!$AM$33+'TUSD CVA'!$AM$33)*(1-CUSTOS!$M$38)</f>
        <v>421.14033355107131</v>
      </c>
      <c r="AA105" s="4">
        <f>('TE BE'!$AB$23+'TE BF'!$AB$23+'TE CVA'!$AB$23)*(1-CUSTOS!$M$38)</f>
        <v>179.54706321936715</v>
      </c>
      <c r="AB105" s="4">
        <f t="shared" si="8"/>
        <v>0</v>
      </c>
      <c r="AC105" s="4">
        <f>(L105-M105)*(W105+X105)+($W$2+$X$2-$W$105-$X$105)*(L105)</f>
        <v>10.531199999999995</v>
      </c>
      <c r="AD105" s="4">
        <f t="shared" si="9"/>
        <v>0</v>
      </c>
      <c r="AE105" s="4">
        <f ca="1">(L105-M105)*(Z105+AA105)+($Z$2+$AA$2-$Z$105-$AA$105)*(L105)</f>
        <v>6.1346797968044848</v>
      </c>
      <c r="AF105" s="3" t="s">
        <v>625</v>
      </c>
    </row>
    <row r="106" spans="1:32" ht="11.25" customHeight="1" x14ac:dyDescent="0.3">
      <c r="A106" s="3" t="s">
        <v>55</v>
      </c>
      <c r="B106" s="3" t="s">
        <v>42</v>
      </c>
      <c r="C106" s="3" t="s">
        <v>23</v>
      </c>
      <c r="D106" s="3" t="s">
        <v>43</v>
      </c>
      <c r="E106" s="3" t="s">
        <v>54</v>
      </c>
      <c r="F106" s="3" t="s">
        <v>52</v>
      </c>
      <c r="G106" s="3" t="s">
        <v>25</v>
      </c>
      <c r="H106" s="3" t="s">
        <v>25</v>
      </c>
      <c r="I106" s="6">
        <v>44774</v>
      </c>
      <c r="J106" s="4">
        <v>0</v>
      </c>
      <c r="K106" s="4">
        <v>0</v>
      </c>
      <c r="L106" s="4">
        <v>0.16</v>
      </c>
      <c r="M106" s="4">
        <v>0.16</v>
      </c>
      <c r="N106" s="4">
        <v>0.16</v>
      </c>
      <c r="O106" s="4">
        <v>0.16</v>
      </c>
      <c r="P106" s="4">
        <v>0</v>
      </c>
      <c r="Q106" s="3" t="s">
        <v>26</v>
      </c>
      <c r="R106" s="3">
        <v>0</v>
      </c>
      <c r="S106" s="3">
        <v>0</v>
      </c>
      <c r="T106" s="3">
        <v>31</v>
      </c>
      <c r="U106" s="3">
        <v>69</v>
      </c>
      <c r="V106" s="4">
        <f>IF(ISERROR(VLOOKUP($S$106,'TAR FIN'!$A$1:$O$88,15,0)),0,VLOOKUP($S$106,'TAR FIN'!$A$1:$O$88,15,0))</f>
        <v>0</v>
      </c>
      <c r="W106" s="4">
        <f>IF(ISERROR(VLOOKUP($T$106,'TAR FIN'!$A$1:$O$88,15,0)),0,VLOOKUP($T$106,'TAR FIN'!$A$1:$O$88,15,0))</f>
        <v>269.45</v>
      </c>
      <c r="X106" s="4">
        <f>IF(ISERROR(VLOOKUP($U$106,'TAR FIN'!$A$1:$O$88,15,0)),0,VLOOKUP($U$106,'TAR FIN'!$A$1:$O$88,15,0))</f>
        <v>213.27</v>
      </c>
      <c r="Y106" s="4"/>
      <c r="Z106" s="4">
        <f ca="1">('TUSD BE'!$AM$33+'TUSD BF'!$AM$33+'TUSD CVA'!$AM$33)*(1-CUSTOS!$M$38)</f>
        <v>421.14033355107131</v>
      </c>
      <c r="AA106" s="4">
        <f>('TE BE'!$AB$23+'TE BF'!$AB$23+'TE CVA'!$AB$23)*(1-CUSTOS!$M$38)</f>
        <v>179.54706321936715</v>
      </c>
      <c r="AB106" s="4">
        <f t="shared" si="8"/>
        <v>0</v>
      </c>
      <c r="AC106" s="4">
        <f>(L106-M106)*(W106+X106)+($W$2+$X$2-$W$106-$X$106)*(L106)</f>
        <v>10.531199999999995</v>
      </c>
      <c r="AD106" s="4">
        <f t="shared" si="9"/>
        <v>0</v>
      </c>
      <c r="AE106" s="4">
        <f ca="1">(L106-M106)*(Z106+AA106)+($Z$2+$AA$2-$Z$106-$AA$106)*(L106)</f>
        <v>6.1346797968044848</v>
      </c>
      <c r="AF106" s="3" t="s">
        <v>625</v>
      </c>
    </row>
    <row r="107" spans="1:32" ht="11.25" customHeight="1" x14ac:dyDescent="0.3">
      <c r="A107" s="3" t="s">
        <v>21</v>
      </c>
      <c r="B107" s="3" t="s">
        <v>42</v>
      </c>
      <c r="C107" s="3" t="s">
        <v>23</v>
      </c>
      <c r="D107" s="3" t="s">
        <v>43</v>
      </c>
      <c r="E107" s="3" t="s">
        <v>54</v>
      </c>
      <c r="F107" s="3" t="s">
        <v>53</v>
      </c>
      <c r="G107" s="3" t="s">
        <v>25</v>
      </c>
      <c r="H107" s="3" t="s">
        <v>25</v>
      </c>
      <c r="I107" s="6">
        <v>44440</v>
      </c>
      <c r="J107" s="4">
        <v>0</v>
      </c>
      <c r="K107" s="4">
        <v>0</v>
      </c>
      <c r="L107" s="4">
        <v>0.97499999999999998</v>
      </c>
      <c r="M107" s="4">
        <v>0.39</v>
      </c>
      <c r="N107" s="4">
        <v>0.97499999999999998</v>
      </c>
      <c r="O107" s="4">
        <v>0.39</v>
      </c>
      <c r="P107" s="4">
        <v>0</v>
      </c>
      <c r="Q107" s="3" t="s">
        <v>26</v>
      </c>
      <c r="R107" s="3">
        <v>0</v>
      </c>
      <c r="S107" s="3">
        <v>0</v>
      </c>
      <c r="T107" s="3">
        <v>31</v>
      </c>
      <c r="U107" s="3">
        <v>69</v>
      </c>
      <c r="V107" s="4">
        <f>IF(ISERROR(VLOOKUP($S$107,'TAR FIN'!$A$1:$O$88,15,0)),0,VLOOKUP($S$107,'TAR FIN'!$A$1:$O$88,15,0))</f>
        <v>0</v>
      </c>
      <c r="W107" s="4">
        <f>IF(ISERROR(VLOOKUP($T$107,'TAR FIN'!$A$1:$O$88,15,0)),0,VLOOKUP($T$107,'TAR FIN'!$A$1:$O$88,15,0))</f>
        <v>269.45</v>
      </c>
      <c r="X107" s="4">
        <f>IF(ISERROR(VLOOKUP($U$107,'TAR FIN'!$A$1:$O$88,15,0)),0,VLOOKUP($U$107,'TAR FIN'!$A$1:$O$88,15,0))</f>
        <v>213.27</v>
      </c>
      <c r="Y107" s="4"/>
      <c r="Z107" s="4">
        <f ca="1">('TUSD BE'!$AM$33+'TUSD BF'!$AM$33+'TUSD CVA'!$AM$33)*(1-CUSTOS!$M$38)</f>
        <v>421.14033355107131</v>
      </c>
      <c r="AA107" s="4">
        <f>('TE BE'!$AB$23+'TE BF'!$AB$23+'TE CVA'!$AB$23)*(1-CUSTOS!$M$38)</f>
        <v>179.54706321936715</v>
      </c>
      <c r="AB107" s="4">
        <f t="shared" si="8"/>
        <v>0</v>
      </c>
      <c r="AC107" s="4">
        <f>(L107-M107)*(W107+X107)+($W$2+$X$2-$W$107-$X$107)*(L107)</f>
        <v>346.56569999999999</v>
      </c>
      <c r="AD107" s="4">
        <f t="shared" si="9"/>
        <v>0</v>
      </c>
      <c r="AE107" s="4">
        <f ca="1">(L107-M107)*(Z107+AA107)+($Z$2+$AA$2-$Z$107-$AA$107)*(L107)</f>
        <v>388.78533212248379</v>
      </c>
      <c r="AF107" s="3" t="s">
        <v>626</v>
      </c>
    </row>
    <row r="108" spans="1:32" ht="11.25" customHeight="1" x14ac:dyDescent="0.3">
      <c r="A108" s="3" t="s">
        <v>21</v>
      </c>
      <c r="B108" s="3" t="s">
        <v>42</v>
      </c>
      <c r="C108" s="3" t="s">
        <v>23</v>
      </c>
      <c r="D108" s="3" t="s">
        <v>43</v>
      </c>
      <c r="E108" s="3" t="s">
        <v>54</v>
      </c>
      <c r="F108" s="3" t="s">
        <v>53</v>
      </c>
      <c r="G108" s="3" t="s">
        <v>25</v>
      </c>
      <c r="H108" s="3" t="s">
        <v>25</v>
      </c>
      <c r="I108" s="6">
        <v>44470</v>
      </c>
      <c r="J108" s="4">
        <v>0</v>
      </c>
      <c r="K108" s="4">
        <v>0</v>
      </c>
      <c r="L108" s="4">
        <v>1.417</v>
      </c>
      <c r="M108" s="4">
        <v>0.56679999999999997</v>
      </c>
      <c r="N108" s="4">
        <v>1.417</v>
      </c>
      <c r="O108" s="4">
        <v>0.56679999999999997</v>
      </c>
      <c r="P108" s="4">
        <v>0</v>
      </c>
      <c r="Q108" s="3" t="s">
        <v>26</v>
      </c>
      <c r="R108" s="3">
        <v>0</v>
      </c>
      <c r="S108" s="3">
        <v>0</v>
      </c>
      <c r="T108" s="3">
        <v>31</v>
      </c>
      <c r="U108" s="3">
        <v>69</v>
      </c>
      <c r="V108" s="4">
        <f>IF(ISERROR(VLOOKUP($S$108,'TAR FIN'!$A$1:$O$88,15,0)),0,VLOOKUP($S$108,'TAR FIN'!$A$1:$O$88,15,0))</f>
        <v>0</v>
      </c>
      <c r="W108" s="4">
        <f>IF(ISERROR(VLOOKUP($T$108,'TAR FIN'!$A$1:$O$88,15,0)),0,VLOOKUP($T$108,'TAR FIN'!$A$1:$O$88,15,0))</f>
        <v>269.45</v>
      </c>
      <c r="X108" s="4">
        <f>IF(ISERROR(VLOOKUP($U$108,'TAR FIN'!$A$1:$O$88,15,0)),0,VLOOKUP($U$108,'TAR FIN'!$A$1:$O$88,15,0))</f>
        <v>213.27</v>
      </c>
      <c r="Y108" s="4"/>
      <c r="Z108" s="4">
        <f ca="1">('TUSD BE'!$AM$33+'TUSD BF'!$AM$33+'TUSD CVA'!$AM$33)*(1-CUSTOS!$M$38)</f>
        <v>421.14033355107131</v>
      </c>
      <c r="AA108" s="4">
        <f>('TE BE'!$AB$23+'TE BF'!$AB$23+'TE CVA'!$AB$23)*(1-CUSTOS!$M$38)</f>
        <v>179.54706321936715</v>
      </c>
      <c r="AB108" s="4">
        <f t="shared" si="8"/>
        <v>0</v>
      </c>
      <c r="AC108" s="4">
        <f>(L108-M108)*(W108+X108)+($W$2+$X$2-$W$108-$X$108)*(L108)</f>
        <v>503.67548399999998</v>
      </c>
      <c r="AD108" s="4">
        <f t="shared" si="9"/>
        <v>0</v>
      </c>
      <c r="AE108" s="4">
        <f ca="1">(L108-M108)*(Z108+AA108)+($Z$2+$AA$2-$Z$108-$AA$108)*(L108)</f>
        <v>565.03468268467645</v>
      </c>
      <c r="AF108" s="3" t="s">
        <v>626</v>
      </c>
    </row>
    <row r="109" spans="1:32" ht="11.25" customHeight="1" x14ac:dyDescent="0.3">
      <c r="A109" s="3" t="s">
        <v>21</v>
      </c>
      <c r="B109" s="3" t="s">
        <v>42</v>
      </c>
      <c r="C109" s="3" t="s">
        <v>23</v>
      </c>
      <c r="D109" s="3" t="s">
        <v>43</v>
      </c>
      <c r="E109" s="3" t="s">
        <v>54</v>
      </c>
      <c r="F109" s="3" t="s">
        <v>53</v>
      </c>
      <c r="G109" s="3" t="s">
        <v>25</v>
      </c>
      <c r="H109" s="3" t="s">
        <v>25</v>
      </c>
      <c r="I109" s="6">
        <v>44501</v>
      </c>
      <c r="J109" s="4">
        <v>0</v>
      </c>
      <c r="K109" s="4">
        <v>0</v>
      </c>
      <c r="L109" s="4">
        <v>1.6319999999999999</v>
      </c>
      <c r="M109" s="4">
        <v>0.65280000000000005</v>
      </c>
      <c r="N109" s="4">
        <v>1.6319999999999999</v>
      </c>
      <c r="O109" s="4">
        <v>0.65280000000000005</v>
      </c>
      <c r="P109" s="4">
        <v>0</v>
      </c>
      <c r="Q109" s="3" t="s">
        <v>26</v>
      </c>
      <c r="R109" s="3">
        <v>0</v>
      </c>
      <c r="S109" s="3">
        <v>0</v>
      </c>
      <c r="T109" s="3">
        <v>31</v>
      </c>
      <c r="U109" s="3">
        <v>69</v>
      </c>
      <c r="V109" s="4">
        <f>IF(ISERROR(VLOOKUP($S$109,'TAR FIN'!$A$1:$O$88,15,0)),0,VLOOKUP($S$109,'TAR FIN'!$A$1:$O$88,15,0))</f>
        <v>0</v>
      </c>
      <c r="W109" s="4">
        <f>IF(ISERROR(VLOOKUP($T$109,'TAR FIN'!$A$1:$O$88,15,0)),0,VLOOKUP($T$109,'TAR FIN'!$A$1:$O$88,15,0))</f>
        <v>269.45</v>
      </c>
      <c r="X109" s="4">
        <f>IF(ISERROR(VLOOKUP($U$109,'TAR FIN'!$A$1:$O$88,15,0)),0,VLOOKUP($U$109,'TAR FIN'!$A$1:$O$88,15,0))</f>
        <v>213.27</v>
      </c>
      <c r="Y109" s="4"/>
      <c r="Z109" s="4">
        <f ca="1">('TUSD BE'!$AM$33+'TUSD BF'!$AM$33+'TUSD CVA'!$AM$33)*(1-CUSTOS!$M$38)</f>
        <v>421.14033355107131</v>
      </c>
      <c r="AA109" s="4">
        <f>('TE BE'!$AB$23+'TE BF'!$AB$23+'TE CVA'!$AB$23)*(1-CUSTOS!$M$38)</f>
        <v>179.54706321936715</v>
      </c>
      <c r="AB109" s="4">
        <f t="shared" si="8"/>
        <v>0</v>
      </c>
      <c r="AC109" s="4">
        <f>(L109-M109)*(W109+X109)+($W$2+$X$2-$W$109-$X$109)*(L109)</f>
        <v>580.0976639999999</v>
      </c>
      <c r="AD109" s="4">
        <f t="shared" si="9"/>
        <v>0</v>
      </c>
      <c r="AE109" s="4">
        <f ca="1">(L109-M109)*(Z109+AA109)+($Z$2+$AA$2-$Z$109-$AA$109)*(L109)</f>
        <v>650.76683284501905</v>
      </c>
      <c r="AF109" s="3" t="s">
        <v>626</v>
      </c>
    </row>
    <row r="110" spans="1:32" ht="11.25" customHeight="1" x14ac:dyDescent="0.3">
      <c r="A110" s="3" t="s">
        <v>21</v>
      </c>
      <c r="B110" s="3" t="s">
        <v>42</v>
      </c>
      <c r="C110" s="3" t="s">
        <v>23</v>
      </c>
      <c r="D110" s="3" t="s">
        <v>43</v>
      </c>
      <c r="E110" s="3" t="s">
        <v>54</v>
      </c>
      <c r="F110" s="3" t="s">
        <v>53</v>
      </c>
      <c r="G110" s="3" t="s">
        <v>25</v>
      </c>
      <c r="H110" s="3" t="s">
        <v>25</v>
      </c>
      <c r="I110" s="6">
        <v>44531</v>
      </c>
      <c r="J110" s="4">
        <v>0</v>
      </c>
      <c r="K110" s="4">
        <v>0</v>
      </c>
      <c r="L110" s="4">
        <v>2.3889999999999998</v>
      </c>
      <c r="M110" s="4">
        <v>0.9556</v>
      </c>
      <c r="N110" s="4">
        <v>2.3889999999999998</v>
      </c>
      <c r="O110" s="4">
        <v>0.9556</v>
      </c>
      <c r="P110" s="4">
        <v>0</v>
      </c>
      <c r="Q110" s="3" t="s">
        <v>26</v>
      </c>
      <c r="R110" s="3">
        <v>0</v>
      </c>
      <c r="S110" s="3">
        <v>0</v>
      </c>
      <c r="T110" s="3">
        <v>31</v>
      </c>
      <c r="U110" s="3">
        <v>69</v>
      </c>
      <c r="V110" s="4">
        <f>IF(ISERROR(VLOOKUP($S$110,'TAR FIN'!$A$1:$O$88,15,0)),0,VLOOKUP($S$110,'TAR FIN'!$A$1:$O$88,15,0))</f>
        <v>0</v>
      </c>
      <c r="W110" s="4">
        <f>IF(ISERROR(VLOOKUP($T$110,'TAR FIN'!$A$1:$O$88,15,0)),0,VLOOKUP($T$110,'TAR FIN'!$A$1:$O$88,15,0))</f>
        <v>269.45</v>
      </c>
      <c r="X110" s="4">
        <f>IF(ISERROR(VLOOKUP($U$110,'TAR FIN'!$A$1:$O$88,15,0)),0,VLOOKUP($U$110,'TAR FIN'!$A$1:$O$88,15,0))</f>
        <v>213.27</v>
      </c>
      <c r="Y110" s="4"/>
      <c r="Z110" s="4">
        <f ca="1">('TUSD BE'!$AM$33+'TUSD BF'!$AM$33+'TUSD CVA'!$AM$33)*(1-CUSTOS!$M$38)</f>
        <v>421.14033355107131</v>
      </c>
      <c r="AA110" s="4">
        <f>('TE BE'!$AB$23+'TE BF'!$AB$23+'TE CVA'!$AB$23)*(1-CUSTOS!$M$38)</f>
        <v>179.54706321936715</v>
      </c>
      <c r="AB110" s="4">
        <f t="shared" si="8"/>
        <v>0</v>
      </c>
      <c r="AC110" s="4">
        <f>(L110-M110)*(W110+X110)+($W$2+$X$2-$W$110-$X$110)*(L110)</f>
        <v>849.17482799999993</v>
      </c>
      <c r="AD110" s="4">
        <f t="shared" si="9"/>
        <v>0</v>
      </c>
      <c r="AE110" s="4">
        <f ca="1">(L110-M110)*(Z110+AA110)+($Z$2+$AA$2-$Z$110-$AA$110)*(L110)</f>
        <v>952.62375224678328</v>
      </c>
      <c r="AF110" s="3" t="s">
        <v>626</v>
      </c>
    </row>
    <row r="111" spans="1:32" ht="11.25" customHeight="1" x14ac:dyDescent="0.3">
      <c r="A111" s="3" t="s">
        <v>21</v>
      </c>
      <c r="B111" s="3" t="s">
        <v>42</v>
      </c>
      <c r="C111" s="3" t="s">
        <v>23</v>
      </c>
      <c r="D111" s="3" t="s">
        <v>43</v>
      </c>
      <c r="E111" s="3" t="s">
        <v>54</v>
      </c>
      <c r="F111" s="3" t="s">
        <v>53</v>
      </c>
      <c r="G111" s="3" t="s">
        <v>25</v>
      </c>
      <c r="H111" s="3" t="s">
        <v>25</v>
      </c>
      <c r="I111" s="6">
        <v>44562</v>
      </c>
      <c r="J111" s="4">
        <v>0</v>
      </c>
      <c r="K111" s="4">
        <v>0</v>
      </c>
      <c r="L111" s="4">
        <v>3.42</v>
      </c>
      <c r="M111" s="4">
        <v>1.3680000000000001</v>
      </c>
      <c r="N111" s="4">
        <v>3.42</v>
      </c>
      <c r="O111" s="4">
        <v>1.3680000000000001</v>
      </c>
      <c r="P111" s="4">
        <v>0</v>
      </c>
      <c r="Q111" s="3" t="s">
        <v>26</v>
      </c>
      <c r="R111" s="3">
        <v>0</v>
      </c>
      <c r="S111" s="3">
        <v>0</v>
      </c>
      <c r="T111" s="3">
        <v>31</v>
      </c>
      <c r="U111" s="3">
        <v>69</v>
      </c>
      <c r="V111" s="4">
        <f>IF(ISERROR(VLOOKUP($S$111,'TAR FIN'!$A$1:$O$88,15,0)),0,VLOOKUP($S$111,'TAR FIN'!$A$1:$O$88,15,0))</f>
        <v>0</v>
      </c>
      <c r="W111" s="4">
        <f>IF(ISERROR(VLOOKUP($T$111,'TAR FIN'!$A$1:$O$88,15,0)),0,VLOOKUP($T$111,'TAR FIN'!$A$1:$O$88,15,0))</f>
        <v>269.45</v>
      </c>
      <c r="X111" s="4">
        <f>IF(ISERROR(VLOOKUP($U$111,'TAR FIN'!$A$1:$O$88,15,0)),0,VLOOKUP($U$111,'TAR FIN'!$A$1:$O$88,15,0))</f>
        <v>213.27</v>
      </c>
      <c r="Y111" s="4"/>
      <c r="Z111" s="4">
        <f ca="1">('TUSD BE'!$AM$33+'TUSD BF'!$AM$33+'TUSD CVA'!$AM$33)*(1-CUSTOS!$M$38)</f>
        <v>421.14033355107131</v>
      </c>
      <c r="AA111" s="4">
        <f>('TE BE'!$AB$23+'TE BF'!$AB$23+'TE CVA'!$AB$23)*(1-CUSTOS!$M$38)</f>
        <v>179.54706321936715</v>
      </c>
      <c r="AB111" s="4">
        <f t="shared" si="8"/>
        <v>0</v>
      </c>
      <c r="AC111" s="4">
        <f>(L111-M111)*(W111+X111)+($W$2+$X$2-$W$111-$X$111)*(L111)</f>
        <v>1215.6458399999997</v>
      </c>
      <c r="AD111" s="4">
        <f t="shared" si="9"/>
        <v>0</v>
      </c>
      <c r="AE111" s="4">
        <f ca="1">(L111-M111)*(Z111+AA111)+($Z$2+$AA$2-$Z$111-$AA$111)*(L111)</f>
        <v>1363.7393188296353</v>
      </c>
      <c r="AF111" s="3" t="s">
        <v>626</v>
      </c>
    </row>
    <row r="112" spans="1:32" ht="11.25" customHeight="1" x14ac:dyDescent="0.3">
      <c r="A112" s="3" t="s">
        <v>21</v>
      </c>
      <c r="B112" s="3" t="s">
        <v>42</v>
      </c>
      <c r="C112" s="3" t="s">
        <v>23</v>
      </c>
      <c r="D112" s="3" t="s">
        <v>43</v>
      </c>
      <c r="E112" s="3" t="s">
        <v>54</v>
      </c>
      <c r="F112" s="3" t="s">
        <v>53</v>
      </c>
      <c r="G112" s="3" t="s">
        <v>25</v>
      </c>
      <c r="H112" s="3" t="s">
        <v>25</v>
      </c>
      <c r="I112" s="6">
        <v>44593</v>
      </c>
      <c r="J112" s="4">
        <v>0</v>
      </c>
      <c r="K112" s="4">
        <v>0</v>
      </c>
      <c r="L112" s="4">
        <v>3.9550000000000001</v>
      </c>
      <c r="M112" s="4">
        <v>1.5820000000000001</v>
      </c>
      <c r="N112" s="4">
        <v>3.9550000000000001</v>
      </c>
      <c r="O112" s="4">
        <v>1.5820000000000001</v>
      </c>
      <c r="P112" s="4">
        <v>0</v>
      </c>
      <c r="Q112" s="3" t="s">
        <v>26</v>
      </c>
      <c r="R112" s="3">
        <v>0</v>
      </c>
      <c r="S112" s="3">
        <v>0</v>
      </c>
      <c r="T112" s="3">
        <v>31</v>
      </c>
      <c r="U112" s="3">
        <v>69</v>
      </c>
      <c r="V112" s="4">
        <f>IF(ISERROR(VLOOKUP($S$112,'TAR FIN'!$A$1:$O$88,15,0)),0,VLOOKUP($S$112,'TAR FIN'!$A$1:$O$88,15,0))</f>
        <v>0</v>
      </c>
      <c r="W112" s="4">
        <f>IF(ISERROR(VLOOKUP($T$112,'TAR FIN'!$A$1:$O$88,15,0)),0,VLOOKUP($T$112,'TAR FIN'!$A$1:$O$88,15,0))</f>
        <v>269.45</v>
      </c>
      <c r="X112" s="4">
        <f>IF(ISERROR(VLOOKUP($U$112,'TAR FIN'!$A$1:$O$88,15,0)),0,VLOOKUP($U$112,'TAR FIN'!$A$1:$O$88,15,0))</f>
        <v>213.27</v>
      </c>
      <c r="Y112" s="4"/>
      <c r="Z112" s="4">
        <f ca="1">('TUSD BE'!$AM$33+'TUSD BF'!$AM$33+'TUSD CVA'!$AM$33)*(1-CUSTOS!$M$38)</f>
        <v>421.14033355107131</v>
      </c>
      <c r="AA112" s="4">
        <f>('TE BE'!$AB$23+'TE BF'!$AB$23+'TE CVA'!$AB$23)*(1-CUSTOS!$M$38)</f>
        <v>179.54706321936715</v>
      </c>
      <c r="AB112" s="4">
        <f t="shared" si="8"/>
        <v>0</v>
      </c>
      <c r="AC112" s="4">
        <f>(L112-M112)*(W112+X112)+($W$2+$X$2-$W$112-$X$112)*(L112)</f>
        <v>1405.8126600000001</v>
      </c>
      <c r="AD112" s="4">
        <f t="shared" si="9"/>
        <v>0</v>
      </c>
      <c r="AE112" s="4">
        <f ca="1">(L112-M112)*(Z112+AA112)+($Z$2+$AA$2-$Z$112-$AA$112)*(L112)</f>
        <v>1577.0728087635114</v>
      </c>
      <c r="AF112" s="3" t="s">
        <v>626</v>
      </c>
    </row>
    <row r="113" spans="1:32" ht="11.25" customHeight="1" x14ac:dyDescent="0.3">
      <c r="A113" s="3" t="s">
        <v>21</v>
      </c>
      <c r="B113" s="3" t="s">
        <v>42</v>
      </c>
      <c r="C113" s="3" t="s">
        <v>23</v>
      </c>
      <c r="D113" s="3" t="s">
        <v>43</v>
      </c>
      <c r="E113" s="3" t="s">
        <v>54</v>
      </c>
      <c r="F113" s="3" t="s">
        <v>53</v>
      </c>
      <c r="G113" s="3" t="s">
        <v>25</v>
      </c>
      <c r="H113" s="3" t="s">
        <v>25</v>
      </c>
      <c r="I113" s="6">
        <v>44621</v>
      </c>
      <c r="J113" s="4">
        <v>0</v>
      </c>
      <c r="K113" s="4">
        <v>0</v>
      </c>
      <c r="L113" s="4">
        <v>2.3809999999999998</v>
      </c>
      <c r="M113" s="4">
        <v>0.95240000000000002</v>
      </c>
      <c r="N113" s="4">
        <v>2.3809999999999998</v>
      </c>
      <c r="O113" s="4">
        <v>0.95240000000000002</v>
      </c>
      <c r="P113" s="4">
        <v>0</v>
      </c>
      <c r="Q113" s="3" t="s">
        <v>26</v>
      </c>
      <c r="R113" s="3">
        <v>0</v>
      </c>
      <c r="S113" s="3">
        <v>0</v>
      </c>
      <c r="T113" s="3">
        <v>31</v>
      </c>
      <c r="U113" s="3">
        <v>69</v>
      </c>
      <c r="V113" s="4">
        <f>IF(ISERROR(VLOOKUP($S$113,'TAR FIN'!$A$1:$O$88,15,0)),0,VLOOKUP($S$113,'TAR FIN'!$A$1:$O$88,15,0))</f>
        <v>0</v>
      </c>
      <c r="W113" s="4">
        <f>IF(ISERROR(VLOOKUP($T$113,'TAR FIN'!$A$1:$O$88,15,0)),0,VLOOKUP($T$113,'TAR FIN'!$A$1:$O$88,15,0))</f>
        <v>269.45</v>
      </c>
      <c r="X113" s="4">
        <f>IF(ISERROR(VLOOKUP($U$113,'TAR FIN'!$A$1:$O$88,15,0)),0,VLOOKUP($U$113,'TAR FIN'!$A$1:$O$88,15,0))</f>
        <v>213.27</v>
      </c>
      <c r="Y113" s="4"/>
      <c r="Z113" s="4">
        <f ca="1">('TUSD BE'!$AM$33+'TUSD BF'!$AM$33+'TUSD CVA'!$AM$33)*(1-CUSTOS!$M$38)</f>
        <v>421.14033355107131</v>
      </c>
      <c r="AA113" s="4">
        <f>('TE BE'!$AB$23+'TE BF'!$AB$23+'TE CVA'!$AB$23)*(1-CUSTOS!$M$38)</f>
        <v>179.54706321936715</v>
      </c>
      <c r="AB113" s="4">
        <f t="shared" si="8"/>
        <v>0</v>
      </c>
      <c r="AC113" s="4">
        <f>(L113-M113)*(W113+X113)+($W$2+$X$2-$W$113-$X$113)*(L113)</f>
        <v>846.33121199999982</v>
      </c>
      <c r="AD113" s="4">
        <f t="shared" si="9"/>
        <v>0</v>
      </c>
      <c r="AE113" s="4">
        <f ca="1">(L113-M113)*(Z113+AA113)+($Z$2+$AA$2-$Z$113-$AA$113)*(L113)</f>
        <v>949.43371875244497</v>
      </c>
      <c r="AF113" s="3" t="s">
        <v>626</v>
      </c>
    </row>
    <row r="114" spans="1:32" ht="11.25" customHeight="1" x14ac:dyDescent="0.3">
      <c r="A114" s="3" t="s">
        <v>21</v>
      </c>
      <c r="B114" s="3" t="s">
        <v>42</v>
      </c>
      <c r="C114" s="3" t="s">
        <v>23</v>
      </c>
      <c r="D114" s="3" t="s">
        <v>43</v>
      </c>
      <c r="E114" s="3" t="s">
        <v>54</v>
      </c>
      <c r="F114" s="3" t="s">
        <v>53</v>
      </c>
      <c r="G114" s="3" t="s">
        <v>25</v>
      </c>
      <c r="H114" s="3" t="s">
        <v>25</v>
      </c>
      <c r="I114" s="6">
        <v>44652</v>
      </c>
      <c r="J114" s="4">
        <v>0</v>
      </c>
      <c r="K114" s="4">
        <v>0</v>
      </c>
      <c r="L114" s="4">
        <v>2.88</v>
      </c>
      <c r="M114" s="4">
        <v>1.1519999999999999</v>
      </c>
      <c r="N114" s="4">
        <v>2.88</v>
      </c>
      <c r="O114" s="4">
        <v>1.1519999999999999</v>
      </c>
      <c r="P114" s="4">
        <v>0</v>
      </c>
      <c r="Q114" s="3" t="s">
        <v>26</v>
      </c>
      <c r="R114" s="3">
        <v>0</v>
      </c>
      <c r="S114" s="3">
        <v>0</v>
      </c>
      <c r="T114" s="3">
        <v>31</v>
      </c>
      <c r="U114" s="3">
        <v>69</v>
      </c>
      <c r="V114" s="4">
        <f>IF(ISERROR(VLOOKUP($S$114,'TAR FIN'!$A$1:$O$88,15,0)),0,VLOOKUP($S$114,'TAR FIN'!$A$1:$O$88,15,0))</f>
        <v>0</v>
      </c>
      <c r="W114" s="4">
        <f>IF(ISERROR(VLOOKUP($T$114,'TAR FIN'!$A$1:$O$88,15,0)),0,VLOOKUP($T$114,'TAR FIN'!$A$1:$O$88,15,0))</f>
        <v>269.45</v>
      </c>
      <c r="X114" s="4">
        <f>IF(ISERROR(VLOOKUP($U$114,'TAR FIN'!$A$1:$O$88,15,0)),0,VLOOKUP($U$114,'TAR FIN'!$A$1:$O$88,15,0))</f>
        <v>213.27</v>
      </c>
      <c r="Y114" s="4"/>
      <c r="Z114" s="4">
        <f ca="1">('TUSD BE'!$AM$33+'TUSD BF'!$AM$33+'TUSD CVA'!$AM$33)*(1-CUSTOS!$M$38)</f>
        <v>421.14033355107131</v>
      </c>
      <c r="AA114" s="4">
        <f>('TE BE'!$AB$23+'TE BF'!$AB$23+'TE CVA'!$AB$23)*(1-CUSTOS!$M$38)</f>
        <v>179.54706321936715</v>
      </c>
      <c r="AB114" s="4">
        <f t="shared" si="8"/>
        <v>0</v>
      </c>
      <c r="AC114" s="4">
        <f>(L114-M114)*(W114+X114)+($W$2+$X$2-$W$114-$X$114)*(L114)</f>
        <v>1023.7017599999999</v>
      </c>
      <c r="AD114" s="4">
        <f t="shared" si="9"/>
        <v>0</v>
      </c>
      <c r="AE114" s="4">
        <f ca="1">(L114-M114)*(Z114+AA114)+($Z$2+$AA$2-$Z$114-$AA$114)*(L114)</f>
        <v>1148.4120579617984</v>
      </c>
      <c r="AF114" s="3" t="s">
        <v>626</v>
      </c>
    </row>
    <row r="115" spans="1:32" ht="11.25" customHeight="1" x14ac:dyDescent="0.3">
      <c r="A115" s="3" t="s">
        <v>21</v>
      </c>
      <c r="B115" s="3" t="s">
        <v>42</v>
      </c>
      <c r="C115" s="3" t="s">
        <v>23</v>
      </c>
      <c r="D115" s="3" t="s">
        <v>43</v>
      </c>
      <c r="E115" s="3" t="s">
        <v>54</v>
      </c>
      <c r="F115" s="3" t="s">
        <v>53</v>
      </c>
      <c r="G115" s="3" t="s">
        <v>25</v>
      </c>
      <c r="H115" s="3" t="s">
        <v>25</v>
      </c>
      <c r="I115" s="6">
        <v>44682</v>
      </c>
      <c r="J115" s="4">
        <v>0</v>
      </c>
      <c r="K115" s="4">
        <v>0</v>
      </c>
      <c r="L115" s="4">
        <v>2.907</v>
      </c>
      <c r="M115" s="4">
        <v>1.1628000000000001</v>
      </c>
      <c r="N115" s="4">
        <v>2.907</v>
      </c>
      <c r="O115" s="4">
        <v>1.1628000000000001</v>
      </c>
      <c r="P115" s="4">
        <v>0</v>
      </c>
      <c r="Q115" s="3" t="s">
        <v>26</v>
      </c>
      <c r="R115" s="3">
        <v>0</v>
      </c>
      <c r="S115" s="3">
        <v>0</v>
      </c>
      <c r="T115" s="3">
        <v>31</v>
      </c>
      <c r="U115" s="3">
        <v>69</v>
      </c>
      <c r="V115" s="4">
        <f>IF(ISERROR(VLOOKUP($S$115,'TAR FIN'!$A$1:$O$88,15,0)),0,VLOOKUP($S$115,'TAR FIN'!$A$1:$O$88,15,0))</f>
        <v>0</v>
      </c>
      <c r="W115" s="4">
        <f>IF(ISERROR(VLOOKUP($T$115,'TAR FIN'!$A$1:$O$88,15,0)),0,VLOOKUP($T$115,'TAR FIN'!$A$1:$O$88,15,0))</f>
        <v>269.45</v>
      </c>
      <c r="X115" s="4">
        <f>IF(ISERROR(VLOOKUP($U$115,'TAR FIN'!$A$1:$O$88,15,0)),0,VLOOKUP($U$115,'TAR FIN'!$A$1:$O$88,15,0))</f>
        <v>213.27</v>
      </c>
      <c r="Y115" s="4"/>
      <c r="Z115" s="4">
        <f ca="1">('TUSD BE'!$AM$33+'TUSD BF'!$AM$33+'TUSD CVA'!$AM$33)*(1-CUSTOS!$M$38)</f>
        <v>421.14033355107131</v>
      </c>
      <c r="AA115" s="4">
        <f>('TE BE'!$AB$23+'TE BF'!$AB$23+'TE CVA'!$AB$23)*(1-CUSTOS!$M$38)</f>
        <v>179.54706321936715</v>
      </c>
      <c r="AB115" s="4">
        <f t="shared" si="8"/>
        <v>0</v>
      </c>
      <c r="AC115" s="4">
        <f>(L115-M115)*(W115+X115)+($W$2+$X$2-$W$115-$X$115)*(L115)</f>
        <v>1033.2989639999998</v>
      </c>
      <c r="AD115" s="4">
        <f t="shared" si="9"/>
        <v>0</v>
      </c>
      <c r="AE115" s="4">
        <f ca="1">(L115-M115)*(Z115+AA115)+($Z$2+$AA$2-$Z$115-$AA$115)*(L115)</f>
        <v>1159.1784210051901</v>
      </c>
      <c r="AF115" s="3" t="s">
        <v>626</v>
      </c>
    </row>
    <row r="116" spans="1:32" ht="11.25" customHeight="1" x14ac:dyDescent="0.3">
      <c r="A116" s="3" t="s">
        <v>21</v>
      </c>
      <c r="B116" s="3" t="s">
        <v>42</v>
      </c>
      <c r="C116" s="3" t="s">
        <v>23</v>
      </c>
      <c r="D116" s="3" t="s">
        <v>43</v>
      </c>
      <c r="E116" s="3" t="s">
        <v>54</v>
      </c>
      <c r="F116" s="3" t="s">
        <v>53</v>
      </c>
      <c r="G116" s="3" t="s">
        <v>25</v>
      </c>
      <c r="H116" s="3" t="s">
        <v>25</v>
      </c>
      <c r="I116" s="6">
        <v>44713</v>
      </c>
      <c r="J116" s="4">
        <v>0</v>
      </c>
      <c r="K116" s="4">
        <v>0</v>
      </c>
      <c r="L116" s="4">
        <v>0.53700000000000003</v>
      </c>
      <c r="M116" s="4">
        <v>0.21479999999999999</v>
      </c>
      <c r="N116" s="4">
        <v>0.53700000000000003</v>
      </c>
      <c r="O116" s="4">
        <v>0.21479999999999999</v>
      </c>
      <c r="P116" s="4">
        <v>0</v>
      </c>
      <c r="Q116" s="3" t="s">
        <v>26</v>
      </c>
      <c r="R116" s="3">
        <v>0</v>
      </c>
      <c r="S116" s="3">
        <v>0</v>
      </c>
      <c r="T116" s="3">
        <v>31</v>
      </c>
      <c r="U116" s="3">
        <v>69</v>
      </c>
      <c r="V116" s="4">
        <f>IF(ISERROR(VLOOKUP($S$116,'TAR FIN'!$A$1:$O$88,15,0)),0,VLOOKUP($S$116,'TAR FIN'!$A$1:$O$88,15,0))</f>
        <v>0</v>
      </c>
      <c r="W116" s="4">
        <f>IF(ISERROR(VLOOKUP($T$116,'TAR FIN'!$A$1:$O$88,15,0)),0,VLOOKUP($T$116,'TAR FIN'!$A$1:$O$88,15,0))</f>
        <v>269.45</v>
      </c>
      <c r="X116" s="4">
        <f>IF(ISERROR(VLOOKUP($U$116,'TAR FIN'!$A$1:$O$88,15,0)),0,VLOOKUP($U$116,'TAR FIN'!$A$1:$O$88,15,0))</f>
        <v>213.27</v>
      </c>
      <c r="Y116" s="4"/>
      <c r="Z116" s="4">
        <f ca="1">('TUSD BE'!$AM$33+'TUSD BF'!$AM$33+'TUSD CVA'!$AM$33)*(1-CUSTOS!$M$38)</f>
        <v>421.14033355107131</v>
      </c>
      <c r="AA116" s="4">
        <f>('TE BE'!$AB$23+'TE BF'!$AB$23+'TE CVA'!$AB$23)*(1-CUSTOS!$M$38)</f>
        <v>179.54706321936715</v>
      </c>
      <c r="AB116" s="4">
        <f t="shared" si="8"/>
        <v>0</v>
      </c>
      <c r="AC116" s="4">
        <f>(L116-M116)*(W116+X116)+($W$2+$X$2-$W$116-$X$116)*(L116)</f>
        <v>190.87772400000003</v>
      </c>
      <c r="AD116" s="4">
        <f t="shared" si="9"/>
        <v>0</v>
      </c>
      <c r="AE116" s="4">
        <f ca="1">(L116-M116)*(Z116+AA116)+($Z$2+$AA$2-$Z$116-$AA$116)*(L116)</f>
        <v>214.13099830746035</v>
      </c>
      <c r="AF116" s="3" t="s">
        <v>626</v>
      </c>
    </row>
    <row r="117" spans="1:32" ht="11.25" customHeight="1" x14ac:dyDescent="0.3">
      <c r="A117" s="3" t="s">
        <v>21</v>
      </c>
      <c r="B117" s="3" t="s">
        <v>42</v>
      </c>
      <c r="C117" s="3" t="s">
        <v>23</v>
      </c>
      <c r="D117" s="3" t="s">
        <v>43</v>
      </c>
      <c r="E117" s="3" t="s">
        <v>54</v>
      </c>
      <c r="F117" s="3" t="s">
        <v>53</v>
      </c>
      <c r="G117" s="3" t="s">
        <v>25</v>
      </c>
      <c r="H117" s="3" t="s">
        <v>25</v>
      </c>
      <c r="I117" s="6">
        <v>44743</v>
      </c>
      <c r="J117" s="4">
        <v>0</v>
      </c>
      <c r="K117" s="4">
        <v>0</v>
      </c>
      <c r="L117" s="4">
        <v>0.435</v>
      </c>
      <c r="M117" s="4">
        <v>0.17399999999999999</v>
      </c>
      <c r="N117" s="4">
        <v>0.435</v>
      </c>
      <c r="O117" s="4">
        <v>0.17399999999999999</v>
      </c>
      <c r="P117" s="4">
        <v>0</v>
      </c>
      <c r="Q117" s="3" t="s">
        <v>26</v>
      </c>
      <c r="R117" s="3">
        <v>0</v>
      </c>
      <c r="S117" s="3">
        <v>0</v>
      </c>
      <c r="T117" s="3">
        <v>31</v>
      </c>
      <c r="U117" s="3">
        <v>69</v>
      </c>
      <c r="V117" s="4">
        <f>IF(ISERROR(VLOOKUP($S$117,'TAR FIN'!$A$1:$O$88,15,0)),0,VLOOKUP($S$117,'TAR FIN'!$A$1:$O$88,15,0))</f>
        <v>0</v>
      </c>
      <c r="W117" s="4">
        <f>IF(ISERROR(VLOOKUP($T$117,'TAR FIN'!$A$1:$O$88,15,0)),0,VLOOKUP($T$117,'TAR FIN'!$A$1:$O$88,15,0))</f>
        <v>269.45</v>
      </c>
      <c r="X117" s="4">
        <f>IF(ISERROR(VLOOKUP($U$117,'TAR FIN'!$A$1:$O$88,15,0)),0,VLOOKUP($U$117,'TAR FIN'!$A$1:$O$88,15,0))</f>
        <v>213.27</v>
      </c>
      <c r="Y117" s="4"/>
      <c r="Z117" s="4">
        <f ca="1">('TUSD BE'!$AM$33+'TUSD BF'!$AM$33+'TUSD CVA'!$AM$33)*(1-CUSTOS!$M$38)</f>
        <v>421.14033355107131</v>
      </c>
      <c r="AA117" s="4">
        <f>('TE BE'!$AB$23+'TE BF'!$AB$23+'TE CVA'!$AB$23)*(1-CUSTOS!$M$38)</f>
        <v>179.54706321936715</v>
      </c>
      <c r="AB117" s="4">
        <f t="shared" si="8"/>
        <v>0</v>
      </c>
      <c r="AC117" s="4">
        <f>(L117-M117)*(W117+X117)+($W$2+$X$2-$W$117-$X$117)*(L117)</f>
        <v>154.62162000000001</v>
      </c>
      <c r="AD117" s="4">
        <f t="shared" si="9"/>
        <v>0</v>
      </c>
      <c r="AE117" s="4">
        <f ca="1">(L117-M117)*(Z117+AA117)+($Z$2+$AA$2-$Z$117-$AA$117)*(L117)</f>
        <v>173.45807125464665</v>
      </c>
      <c r="AF117" s="3" t="s">
        <v>626</v>
      </c>
    </row>
    <row r="118" spans="1:32" ht="11.25" customHeight="1" x14ac:dyDescent="0.3">
      <c r="A118" s="3" t="s">
        <v>55</v>
      </c>
      <c r="B118" s="3" t="s">
        <v>42</v>
      </c>
      <c r="C118" s="3" t="s">
        <v>23</v>
      </c>
      <c r="D118" s="3" t="s">
        <v>43</v>
      </c>
      <c r="E118" s="3" t="s">
        <v>54</v>
      </c>
      <c r="F118" s="3" t="s">
        <v>53</v>
      </c>
      <c r="G118" s="3" t="s">
        <v>25</v>
      </c>
      <c r="H118" s="3" t="s">
        <v>25</v>
      </c>
      <c r="I118" s="6">
        <v>44774</v>
      </c>
      <c r="J118" s="4">
        <v>0</v>
      </c>
      <c r="K118" s="4">
        <v>0</v>
      </c>
      <c r="L118" s="4">
        <v>0.435</v>
      </c>
      <c r="M118" s="4">
        <v>0.17399999999999999</v>
      </c>
      <c r="N118" s="4">
        <v>0.435</v>
      </c>
      <c r="O118" s="4">
        <v>0.17399999999999999</v>
      </c>
      <c r="P118" s="4">
        <v>0</v>
      </c>
      <c r="Q118" s="3" t="s">
        <v>26</v>
      </c>
      <c r="R118" s="3">
        <v>0</v>
      </c>
      <c r="S118" s="3">
        <v>0</v>
      </c>
      <c r="T118" s="3">
        <v>31</v>
      </c>
      <c r="U118" s="3">
        <v>69</v>
      </c>
      <c r="V118" s="4">
        <f>IF(ISERROR(VLOOKUP($S$118,'TAR FIN'!$A$1:$O$88,15,0)),0,VLOOKUP($S$118,'TAR FIN'!$A$1:$O$88,15,0))</f>
        <v>0</v>
      </c>
      <c r="W118" s="4">
        <f>IF(ISERROR(VLOOKUP($T$118,'TAR FIN'!$A$1:$O$88,15,0)),0,VLOOKUP($T$118,'TAR FIN'!$A$1:$O$88,15,0))</f>
        <v>269.45</v>
      </c>
      <c r="X118" s="4">
        <f>IF(ISERROR(VLOOKUP($U$118,'TAR FIN'!$A$1:$O$88,15,0)),0,VLOOKUP($U$118,'TAR FIN'!$A$1:$O$88,15,0))</f>
        <v>213.27</v>
      </c>
      <c r="Y118" s="4"/>
      <c r="Z118" s="4">
        <f ca="1">('TUSD BE'!$AM$33+'TUSD BF'!$AM$33+'TUSD CVA'!$AM$33)*(1-CUSTOS!$M$38)</f>
        <v>421.14033355107131</v>
      </c>
      <c r="AA118" s="4">
        <f>('TE BE'!$AB$23+'TE BF'!$AB$23+'TE CVA'!$AB$23)*(1-CUSTOS!$M$38)</f>
        <v>179.54706321936715</v>
      </c>
      <c r="AB118" s="4">
        <f t="shared" si="8"/>
        <v>0</v>
      </c>
      <c r="AC118" s="4">
        <f>(L118-M118)*(W118+X118)+($W$2+$X$2-$W$118-$X$118)*(L118)</f>
        <v>154.62162000000001</v>
      </c>
      <c r="AD118" s="4">
        <f t="shared" si="9"/>
        <v>0</v>
      </c>
      <c r="AE118" s="4">
        <f ca="1">(L118-M118)*(Z118+AA118)+($Z$2+$AA$2-$Z$118-$AA$118)*(L118)</f>
        <v>173.45807125464665</v>
      </c>
      <c r="AF118" s="3" t="s">
        <v>626</v>
      </c>
    </row>
    <row r="119" spans="1:32" ht="11.25" customHeight="1" x14ac:dyDescent="0.3">
      <c r="A119" s="3" t="s">
        <v>21</v>
      </c>
      <c r="B119" s="3" t="s">
        <v>42</v>
      </c>
      <c r="C119" s="3" t="s">
        <v>23</v>
      </c>
      <c r="D119" s="3" t="s">
        <v>43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44440</v>
      </c>
      <c r="J119" s="4">
        <v>0</v>
      </c>
      <c r="K119" s="4">
        <v>0</v>
      </c>
      <c r="L119" s="4">
        <v>370.56599999999997</v>
      </c>
      <c r="M119" s="4">
        <v>370.56599999999997</v>
      </c>
      <c r="N119" s="4">
        <v>370.56599999999997</v>
      </c>
      <c r="O119" s="4">
        <v>370.56599999999997</v>
      </c>
      <c r="P119" s="4">
        <v>1600</v>
      </c>
      <c r="Q119" s="3" t="s">
        <v>26</v>
      </c>
      <c r="R119" s="3">
        <v>0</v>
      </c>
      <c r="S119" s="3">
        <v>0</v>
      </c>
      <c r="T119" s="3">
        <v>31</v>
      </c>
      <c r="U119" s="3">
        <v>69</v>
      </c>
      <c r="V119" s="4">
        <f>IF(ISERROR(VLOOKUP($S$119,'TAR FIN'!$A$1:$O$88,15,0)),0,VLOOKUP($S$119,'TAR FIN'!$A$1:$O$88,15,0))</f>
        <v>0</v>
      </c>
      <c r="W119" s="4">
        <f>IF(ISERROR(VLOOKUP($T$119,'TAR FIN'!$A$1:$O$88,15,0)),0,VLOOKUP($T$119,'TAR FIN'!$A$1:$O$88,15,0))</f>
        <v>269.45</v>
      </c>
      <c r="X119" s="4">
        <f>IF(ISERROR(VLOOKUP($U$119,'TAR FIN'!$A$1:$O$88,15,0)),0,VLOOKUP($U$119,'TAR FIN'!$A$1:$O$88,15,0))</f>
        <v>213.27</v>
      </c>
      <c r="Y119" s="4"/>
      <c r="Z119" s="4">
        <f ca="1">('TUSD BE'!$AM$33+'TUSD BF'!$AM$33+'TUSD CVA'!$AM$33)*(1-CUSTOS!$M$38)</f>
        <v>421.14033355107131</v>
      </c>
      <c r="AA119" s="4">
        <f>('TE BE'!$AB$23+'TE BF'!$AB$23+'TE CVA'!$AB$23)*(1-CUSTOS!$M$38)</f>
        <v>179.54706321936715</v>
      </c>
      <c r="AB119" s="4">
        <f t="shared" si="8"/>
        <v>0</v>
      </c>
      <c r="AC119" s="4">
        <f>(L119-M119)*(W119+X119)+($W$2+$X$2-$W$119-$X$119)*(L119)</f>
        <v>24390.654119999985</v>
      </c>
      <c r="AD119" s="4">
        <f t="shared" si="9"/>
        <v>0</v>
      </c>
      <c r="AE119" s="4">
        <f ca="1">(L119-M119)*(Z119+AA119)+($Z$2+$AA$2-$Z$119-$AA$119)*(L119)</f>
        <v>14208.148459891567</v>
      </c>
      <c r="AF119" s="3" t="s">
        <v>625</v>
      </c>
    </row>
    <row r="120" spans="1:32" ht="11.25" customHeight="1" x14ac:dyDescent="0.3">
      <c r="A120" s="3" t="s">
        <v>27</v>
      </c>
      <c r="B120" s="3" t="s">
        <v>42</v>
      </c>
      <c r="C120" s="3" t="s">
        <v>23</v>
      </c>
      <c r="D120" s="3" t="s">
        <v>43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44440</v>
      </c>
      <c r="J120" s="4">
        <v>0</v>
      </c>
      <c r="K120" s="4">
        <v>0</v>
      </c>
      <c r="L120" s="4">
        <v>-0.499</v>
      </c>
      <c r="M120" s="4">
        <v>-0.499</v>
      </c>
      <c r="N120" s="4">
        <v>-0.499</v>
      </c>
      <c r="O120" s="4">
        <v>-0.499</v>
      </c>
      <c r="P120" s="4">
        <v>0</v>
      </c>
      <c r="Q120" s="3" t="s">
        <v>26</v>
      </c>
      <c r="R120" s="3">
        <v>0</v>
      </c>
      <c r="S120" s="3">
        <v>0</v>
      </c>
      <c r="T120" s="3">
        <v>31</v>
      </c>
      <c r="U120" s="3">
        <v>69</v>
      </c>
      <c r="V120" s="4">
        <f>IF(ISERROR(VLOOKUP($S$120,'TAR FIN'!$A$1:$O$88,15,0)),0,VLOOKUP($S$120,'TAR FIN'!$A$1:$O$88,15,0))</f>
        <v>0</v>
      </c>
      <c r="W120" s="4">
        <f>IF(ISERROR(VLOOKUP($T$120,'TAR FIN'!$A$1:$O$88,15,0)),0,VLOOKUP($T$120,'TAR FIN'!$A$1:$O$88,15,0))</f>
        <v>269.45</v>
      </c>
      <c r="X120" s="4">
        <f>IF(ISERROR(VLOOKUP($U$120,'TAR FIN'!$A$1:$O$88,15,0)),0,VLOOKUP($U$120,'TAR FIN'!$A$1:$O$88,15,0))</f>
        <v>213.27</v>
      </c>
      <c r="Y120" s="4"/>
      <c r="Z120" s="4">
        <f ca="1">('TUSD BE'!$AM$33+'TUSD BF'!$AM$33+'TUSD CVA'!$AM$33)*(1-CUSTOS!$M$38)</f>
        <v>421.14033355107131</v>
      </c>
      <c r="AA120" s="4">
        <f>('TE BE'!$AB$23+'TE BF'!$AB$23+'TE CVA'!$AB$23)*(1-CUSTOS!$M$38)</f>
        <v>179.54706321936715</v>
      </c>
      <c r="AB120" s="4">
        <f t="shared" si="8"/>
        <v>0</v>
      </c>
      <c r="AC120" s="4">
        <f>(L120-M120)*(W120+X120)+($W$2+$X$2-$W$120-$X$120)*(L120)</f>
        <v>-32.84417999999998</v>
      </c>
      <c r="AD120" s="4">
        <f t="shared" si="9"/>
        <v>0</v>
      </c>
      <c r="AE120" s="4">
        <f ca="1">(L120-M120)*(Z120+AA120)+($Z$2+$AA$2-$Z$120-$AA$120)*(L120)</f>
        <v>-19.132532616283989</v>
      </c>
      <c r="AF120" s="3" t="s">
        <v>625</v>
      </c>
    </row>
    <row r="121" spans="1:32" ht="11.25" customHeight="1" x14ac:dyDescent="0.3">
      <c r="A121" s="3" t="s">
        <v>28</v>
      </c>
      <c r="B121" s="3" t="s">
        <v>42</v>
      </c>
      <c r="C121" s="3" t="s">
        <v>23</v>
      </c>
      <c r="D121" s="3" t="s">
        <v>43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44440</v>
      </c>
      <c r="J121" s="4">
        <v>0</v>
      </c>
      <c r="K121" s="4">
        <v>0</v>
      </c>
      <c r="L121" s="4">
        <v>1.986</v>
      </c>
      <c r="M121" s="4">
        <v>1.986</v>
      </c>
      <c r="N121" s="4">
        <v>1.986</v>
      </c>
      <c r="O121" s="4">
        <v>1.986</v>
      </c>
      <c r="P121" s="4">
        <v>17</v>
      </c>
      <c r="Q121" s="3" t="s">
        <v>26</v>
      </c>
      <c r="R121" s="3">
        <v>0</v>
      </c>
      <c r="S121" s="3">
        <v>0</v>
      </c>
      <c r="T121" s="3">
        <v>31</v>
      </c>
      <c r="U121" s="3">
        <v>69</v>
      </c>
      <c r="V121" s="4">
        <f>IF(ISERROR(VLOOKUP($S$121,'TAR FIN'!$A$1:$O$88,15,0)),0,VLOOKUP($S$121,'TAR FIN'!$A$1:$O$88,15,0))</f>
        <v>0</v>
      </c>
      <c r="W121" s="4">
        <f>IF(ISERROR(VLOOKUP($T$121,'TAR FIN'!$A$1:$O$88,15,0)),0,VLOOKUP($T$121,'TAR FIN'!$A$1:$O$88,15,0))</f>
        <v>269.45</v>
      </c>
      <c r="X121" s="4">
        <f>IF(ISERROR(VLOOKUP($U$121,'TAR FIN'!$A$1:$O$88,15,0)),0,VLOOKUP($U$121,'TAR FIN'!$A$1:$O$88,15,0))</f>
        <v>213.27</v>
      </c>
      <c r="Y121" s="4"/>
      <c r="Z121" s="4">
        <f ca="1">('TUSD BE'!$AM$33+'TUSD BF'!$AM$33+'TUSD CVA'!$AM$33)*(1-CUSTOS!$M$38)</f>
        <v>421.14033355107131</v>
      </c>
      <c r="AA121" s="4">
        <f>('TE BE'!$AB$23+'TE BF'!$AB$23+'TE CVA'!$AB$23)*(1-CUSTOS!$M$38)</f>
        <v>179.54706321936715</v>
      </c>
      <c r="AB121" s="4">
        <f t="shared" si="8"/>
        <v>0</v>
      </c>
      <c r="AC121" s="4">
        <f>(L121-M121)*(W121+X121)+($W$2+$X$2-$W$121-$X$121)*(L121)</f>
        <v>130.71851999999993</v>
      </c>
      <c r="AD121" s="4">
        <f t="shared" si="9"/>
        <v>0</v>
      </c>
      <c r="AE121" s="4">
        <f ca="1">(L121-M121)*(Z121+AA121)+($Z$2+$AA$2-$Z$121-$AA$121)*(L121)</f>
        <v>76.146712977835662</v>
      </c>
      <c r="AF121" s="3" t="s">
        <v>625</v>
      </c>
    </row>
    <row r="122" spans="1:32" ht="11.25" customHeight="1" x14ac:dyDescent="0.3">
      <c r="A122" s="3" t="s">
        <v>21</v>
      </c>
      <c r="B122" s="3" t="s">
        <v>42</v>
      </c>
      <c r="C122" s="3" t="s">
        <v>23</v>
      </c>
      <c r="D122" s="3" t="s">
        <v>43</v>
      </c>
      <c r="E122" s="3" t="s">
        <v>25</v>
      </c>
      <c r="F122" s="3" t="s">
        <v>25</v>
      </c>
      <c r="G122" s="3" t="s">
        <v>25</v>
      </c>
      <c r="H122" s="3" t="s">
        <v>25</v>
      </c>
      <c r="I122" s="6">
        <v>44470</v>
      </c>
      <c r="J122" s="4">
        <v>0</v>
      </c>
      <c r="K122" s="4">
        <v>0</v>
      </c>
      <c r="L122" s="4">
        <v>391.22899999999998</v>
      </c>
      <c r="M122" s="4">
        <v>391.22899999999998</v>
      </c>
      <c r="N122" s="4">
        <v>391.22899999999998</v>
      </c>
      <c r="O122" s="4">
        <v>391.22899999999998</v>
      </c>
      <c r="P122" s="4">
        <v>1640</v>
      </c>
      <c r="Q122" s="3" t="s">
        <v>26</v>
      </c>
      <c r="R122" s="3">
        <v>0</v>
      </c>
      <c r="S122" s="3">
        <v>0</v>
      </c>
      <c r="T122" s="3">
        <v>31</v>
      </c>
      <c r="U122" s="3">
        <v>69</v>
      </c>
      <c r="V122" s="4">
        <f>IF(ISERROR(VLOOKUP($S$122,'TAR FIN'!$A$1:$O$88,15,0)),0,VLOOKUP($S$122,'TAR FIN'!$A$1:$O$88,15,0))</f>
        <v>0</v>
      </c>
      <c r="W122" s="4">
        <f>IF(ISERROR(VLOOKUP($T$122,'TAR FIN'!$A$1:$O$88,15,0)),0,VLOOKUP($T$122,'TAR FIN'!$A$1:$O$88,15,0))</f>
        <v>269.45</v>
      </c>
      <c r="X122" s="4">
        <f>IF(ISERROR(VLOOKUP($U$122,'TAR FIN'!$A$1:$O$88,15,0)),0,VLOOKUP($U$122,'TAR FIN'!$A$1:$O$88,15,0))</f>
        <v>213.27</v>
      </c>
      <c r="Y122" s="4"/>
      <c r="Z122" s="4">
        <f ca="1">('TUSD BE'!$AM$33+'TUSD BF'!$AM$33+'TUSD CVA'!$AM$33)*(1-CUSTOS!$M$38)</f>
        <v>421.14033355107131</v>
      </c>
      <c r="AA122" s="4">
        <f>('TE BE'!$AB$23+'TE BF'!$AB$23+'TE CVA'!$AB$23)*(1-CUSTOS!$M$38)</f>
        <v>179.54706321936715</v>
      </c>
      <c r="AB122" s="4">
        <f t="shared" si="8"/>
        <v>0</v>
      </c>
      <c r="AC122" s="4">
        <f>(L122-M122)*(W122+X122)+($W$2+$X$2-$W$122-$X$122)*(L122)</f>
        <v>25750.692779999987</v>
      </c>
      <c r="AD122" s="4">
        <f t="shared" si="9"/>
        <v>0</v>
      </c>
      <c r="AE122" s="4">
        <f ca="1">(L122-M122)*(Z122+AA122)+($Z$2+$AA$2-$Z$122-$AA$122)*(L122)</f>
        <v>15000.404013900135</v>
      </c>
      <c r="AF122" s="3" t="s">
        <v>625</v>
      </c>
    </row>
    <row r="123" spans="1:32" ht="11.25" customHeight="1" x14ac:dyDescent="0.3">
      <c r="A123" s="3" t="s">
        <v>27</v>
      </c>
      <c r="B123" s="3" t="s">
        <v>42</v>
      </c>
      <c r="C123" s="3" t="s">
        <v>23</v>
      </c>
      <c r="D123" s="3" t="s">
        <v>43</v>
      </c>
      <c r="E123" s="3" t="s">
        <v>25</v>
      </c>
      <c r="F123" s="3" t="s">
        <v>25</v>
      </c>
      <c r="G123" s="3" t="s">
        <v>25</v>
      </c>
      <c r="H123" s="3" t="s">
        <v>25</v>
      </c>
      <c r="I123" s="6">
        <v>44470</v>
      </c>
      <c r="J123" s="4">
        <v>0</v>
      </c>
      <c r="K123" s="4">
        <v>0</v>
      </c>
      <c r="L123" s="4">
        <v>-0.153</v>
      </c>
      <c r="M123" s="4">
        <v>-0.153</v>
      </c>
      <c r="N123" s="4">
        <v>-0.153</v>
      </c>
      <c r="O123" s="4">
        <v>-0.153</v>
      </c>
      <c r="P123" s="4">
        <v>0</v>
      </c>
      <c r="Q123" s="3" t="s">
        <v>26</v>
      </c>
      <c r="R123" s="3">
        <v>0</v>
      </c>
      <c r="S123" s="3">
        <v>0</v>
      </c>
      <c r="T123" s="3">
        <v>31</v>
      </c>
      <c r="U123" s="3">
        <v>69</v>
      </c>
      <c r="V123" s="4">
        <f>IF(ISERROR(VLOOKUP($S$123,'TAR FIN'!$A$1:$O$88,15,0)),0,VLOOKUP($S$123,'TAR FIN'!$A$1:$O$88,15,0))</f>
        <v>0</v>
      </c>
      <c r="W123" s="4">
        <f>IF(ISERROR(VLOOKUP($T$123,'TAR FIN'!$A$1:$O$88,15,0)),0,VLOOKUP($T$123,'TAR FIN'!$A$1:$O$88,15,0))</f>
        <v>269.45</v>
      </c>
      <c r="X123" s="4">
        <f>IF(ISERROR(VLOOKUP($U$123,'TAR FIN'!$A$1:$O$88,15,0)),0,VLOOKUP($U$123,'TAR FIN'!$A$1:$O$88,15,0))</f>
        <v>213.27</v>
      </c>
      <c r="Y123" s="4"/>
      <c r="Z123" s="4">
        <f ca="1">('TUSD BE'!$AM$33+'TUSD BF'!$AM$33+'TUSD CVA'!$AM$33)*(1-CUSTOS!$M$38)</f>
        <v>421.14033355107131</v>
      </c>
      <c r="AA123" s="4">
        <f>('TE BE'!$AB$23+'TE BF'!$AB$23+'TE CVA'!$AB$23)*(1-CUSTOS!$M$38)</f>
        <v>179.54706321936715</v>
      </c>
      <c r="AB123" s="4">
        <f t="shared" si="8"/>
        <v>0</v>
      </c>
      <c r="AC123" s="4">
        <f>(L123-M123)*(W123+X123)+($W$2+$X$2-$W$123-$X$123)*(L123)</f>
        <v>-10.070459999999995</v>
      </c>
      <c r="AD123" s="4">
        <f t="shared" si="9"/>
        <v>0</v>
      </c>
      <c r="AE123" s="4">
        <f ca="1">(L123-M123)*(Z123+AA123)+($Z$2+$AA$2-$Z$123-$AA$123)*(L123)</f>
        <v>-5.8662875556942886</v>
      </c>
      <c r="AF123" s="3" t="s">
        <v>625</v>
      </c>
    </row>
    <row r="124" spans="1:32" ht="11.25" customHeight="1" x14ac:dyDescent="0.3">
      <c r="A124" s="3" t="s">
        <v>28</v>
      </c>
      <c r="B124" s="3" t="s">
        <v>42</v>
      </c>
      <c r="C124" s="3" t="s">
        <v>23</v>
      </c>
      <c r="D124" s="3" t="s">
        <v>43</v>
      </c>
      <c r="E124" s="3" t="s">
        <v>25</v>
      </c>
      <c r="F124" s="3" t="s">
        <v>25</v>
      </c>
      <c r="G124" s="3" t="s">
        <v>25</v>
      </c>
      <c r="H124" s="3" t="s">
        <v>25</v>
      </c>
      <c r="I124" s="6">
        <v>44470</v>
      </c>
      <c r="J124" s="4">
        <v>0</v>
      </c>
      <c r="K124" s="4">
        <v>0</v>
      </c>
      <c r="L124" s="4">
        <v>2.456</v>
      </c>
      <c r="M124" s="4">
        <v>2.456</v>
      </c>
      <c r="N124" s="4">
        <v>2.456</v>
      </c>
      <c r="O124" s="4">
        <v>2.456</v>
      </c>
      <c r="P124" s="4">
        <v>18</v>
      </c>
      <c r="Q124" s="3" t="s">
        <v>26</v>
      </c>
      <c r="R124" s="3">
        <v>0</v>
      </c>
      <c r="S124" s="3">
        <v>0</v>
      </c>
      <c r="T124" s="3">
        <v>31</v>
      </c>
      <c r="U124" s="3">
        <v>69</v>
      </c>
      <c r="V124" s="4">
        <f>IF(ISERROR(VLOOKUP($S$124,'TAR FIN'!$A$1:$O$88,15,0)),0,VLOOKUP($S$124,'TAR FIN'!$A$1:$O$88,15,0))</f>
        <v>0</v>
      </c>
      <c r="W124" s="4">
        <f>IF(ISERROR(VLOOKUP($T$124,'TAR FIN'!$A$1:$O$88,15,0)),0,VLOOKUP($T$124,'TAR FIN'!$A$1:$O$88,15,0))</f>
        <v>269.45</v>
      </c>
      <c r="X124" s="4">
        <f>IF(ISERROR(VLOOKUP($U$124,'TAR FIN'!$A$1:$O$88,15,0)),0,VLOOKUP($U$124,'TAR FIN'!$A$1:$O$88,15,0))</f>
        <v>213.27</v>
      </c>
      <c r="Y124" s="4"/>
      <c r="Z124" s="4">
        <f ca="1">('TUSD BE'!$AM$33+'TUSD BF'!$AM$33+'TUSD CVA'!$AM$33)*(1-CUSTOS!$M$38)</f>
        <v>421.14033355107131</v>
      </c>
      <c r="AA124" s="4">
        <f>('TE BE'!$AB$23+'TE BF'!$AB$23+'TE CVA'!$AB$23)*(1-CUSTOS!$M$38)</f>
        <v>179.54706321936715</v>
      </c>
      <c r="AB124" s="4">
        <f t="shared" si="8"/>
        <v>0</v>
      </c>
      <c r="AC124" s="4">
        <f>(L124-M124)*(W124+X124)+($W$2+$X$2-$W$124-$X$124)*(L124)</f>
        <v>161.65391999999991</v>
      </c>
      <c r="AD124" s="4">
        <f t="shared" si="9"/>
        <v>0</v>
      </c>
      <c r="AE124" s="4">
        <f ca="1">(L124-M124)*(Z124+AA124)+($Z$2+$AA$2-$Z$124-$AA$124)*(L124)</f>
        <v>94.167334880948843</v>
      </c>
      <c r="AF124" s="3" t="s">
        <v>625</v>
      </c>
    </row>
    <row r="125" spans="1:32" ht="11.25" customHeight="1" x14ac:dyDescent="0.3">
      <c r="A125" s="3" t="s">
        <v>21</v>
      </c>
      <c r="B125" s="3" t="s">
        <v>42</v>
      </c>
      <c r="C125" s="3" t="s">
        <v>23</v>
      </c>
      <c r="D125" s="3" t="s">
        <v>43</v>
      </c>
      <c r="E125" s="3" t="s">
        <v>25</v>
      </c>
      <c r="F125" s="3" t="s">
        <v>25</v>
      </c>
      <c r="G125" s="3" t="s">
        <v>25</v>
      </c>
      <c r="H125" s="3" t="s">
        <v>25</v>
      </c>
      <c r="I125" s="6">
        <v>44501</v>
      </c>
      <c r="J125" s="4">
        <v>0</v>
      </c>
      <c r="K125" s="4">
        <v>0</v>
      </c>
      <c r="L125" s="4">
        <v>501.84</v>
      </c>
      <c r="M125" s="4">
        <v>501.84</v>
      </c>
      <c r="N125" s="4">
        <v>501.84</v>
      </c>
      <c r="O125" s="4">
        <v>501.84</v>
      </c>
      <c r="P125" s="4">
        <v>1656</v>
      </c>
      <c r="Q125" s="3" t="s">
        <v>26</v>
      </c>
      <c r="R125" s="3">
        <v>0</v>
      </c>
      <c r="S125" s="3">
        <v>0</v>
      </c>
      <c r="T125" s="3">
        <v>31</v>
      </c>
      <c r="U125" s="3">
        <v>69</v>
      </c>
      <c r="V125" s="4">
        <f>IF(ISERROR(VLOOKUP($S$125,'TAR FIN'!$A$1:$O$88,15,0)),0,VLOOKUP($S$125,'TAR FIN'!$A$1:$O$88,15,0))</f>
        <v>0</v>
      </c>
      <c r="W125" s="4">
        <f>IF(ISERROR(VLOOKUP($T$125,'TAR FIN'!$A$1:$O$88,15,0)),0,VLOOKUP($T$125,'TAR FIN'!$A$1:$O$88,15,0))</f>
        <v>269.45</v>
      </c>
      <c r="X125" s="4">
        <f>IF(ISERROR(VLOOKUP($U$125,'TAR FIN'!$A$1:$O$88,15,0)),0,VLOOKUP($U$125,'TAR FIN'!$A$1:$O$88,15,0))</f>
        <v>213.27</v>
      </c>
      <c r="Y125" s="4"/>
      <c r="Z125" s="4">
        <f ca="1">('TUSD BE'!$AM$33+'TUSD BF'!$AM$33+'TUSD CVA'!$AM$33)*(1-CUSTOS!$M$38)</f>
        <v>421.14033355107131</v>
      </c>
      <c r="AA125" s="4">
        <f>('TE BE'!$AB$23+'TE BF'!$AB$23+'TE CVA'!$AB$23)*(1-CUSTOS!$M$38)</f>
        <v>179.54706321936715</v>
      </c>
      <c r="AB125" s="4">
        <f t="shared" si="8"/>
        <v>0</v>
      </c>
      <c r="AC125" s="4">
        <f>(L125-M125)*(W125+X125)+($W$2+$X$2-$W$125-$X$125)*(L125)</f>
        <v>33031.10879999998</v>
      </c>
      <c r="AD125" s="4">
        <f t="shared" si="9"/>
        <v>0</v>
      </c>
      <c r="AE125" s="4">
        <f ca="1">(L125-M125)*(Z125+AA125)+($Z$2+$AA$2-$Z$125-$AA$125)*(L125)</f>
        <v>19241.423182677267</v>
      </c>
      <c r="AF125" s="3" t="s">
        <v>625</v>
      </c>
    </row>
    <row r="126" spans="1:32" ht="11.25" customHeight="1" x14ac:dyDescent="0.3">
      <c r="A126" s="3" t="s">
        <v>28</v>
      </c>
      <c r="B126" s="3" t="s">
        <v>42</v>
      </c>
      <c r="C126" s="3" t="s">
        <v>23</v>
      </c>
      <c r="D126" s="3" t="s">
        <v>43</v>
      </c>
      <c r="E126" s="3" t="s">
        <v>25</v>
      </c>
      <c r="F126" s="3" t="s">
        <v>25</v>
      </c>
      <c r="G126" s="3" t="s">
        <v>25</v>
      </c>
      <c r="H126" s="3" t="s">
        <v>25</v>
      </c>
      <c r="I126" s="6">
        <v>44501</v>
      </c>
      <c r="J126" s="4">
        <v>0</v>
      </c>
      <c r="K126" s="4">
        <v>0</v>
      </c>
      <c r="L126" s="4">
        <v>6.399</v>
      </c>
      <c r="M126" s="4">
        <v>6.399</v>
      </c>
      <c r="N126" s="4">
        <v>6.399</v>
      </c>
      <c r="O126" s="4">
        <v>6.399</v>
      </c>
      <c r="P126" s="4">
        <v>21</v>
      </c>
      <c r="Q126" s="3" t="s">
        <v>26</v>
      </c>
      <c r="R126" s="3">
        <v>0</v>
      </c>
      <c r="S126" s="3">
        <v>0</v>
      </c>
      <c r="T126" s="3">
        <v>31</v>
      </c>
      <c r="U126" s="3">
        <v>69</v>
      </c>
      <c r="V126" s="4">
        <f>IF(ISERROR(VLOOKUP($S$126,'TAR FIN'!$A$1:$O$88,15,0)),0,VLOOKUP($S$126,'TAR FIN'!$A$1:$O$88,15,0))</f>
        <v>0</v>
      </c>
      <c r="W126" s="4">
        <f>IF(ISERROR(VLOOKUP($T$126,'TAR FIN'!$A$1:$O$88,15,0)),0,VLOOKUP($T$126,'TAR FIN'!$A$1:$O$88,15,0))</f>
        <v>269.45</v>
      </c>
      <c r="X126" s="4">
        <f>IF(ISERROR(VLOOKUP($U$126,'TAR FIN'!$A$1:$O$88,15,0)),0,VLOOKUP($U$126,'TAR FIN'!$A$1:$O$88,15,0))</f>
        <v>213.27</v>
      </c>
      <c r="Y126" s="4"/>
      <c r="Z126" s="4">
        <f ca="1">('TUSD BE'!$AM$33+'TUSD BF'!$AM$33+'TUSD CVA'!$AM$33)*(1-CUSTOS!$M$38)</f>
        <v>421.14033355107131</v>
      </c>
      <c r="AA126" s="4">
        <f>('TE BE'!$AB$23+'TE BF'!$AB$23+'TE CVA'!$AB$23)*(1-CUSTOS!$M$38)</f>
        <v>179.54706321936715</v>
      </c>
      <c r="AB126" s="4">
        <f t="shared" si="8"/>
        <v>0</v>
      </c>
      <c r="AC126" s="4">
        <f>(L126-M126)*(W126+X126)+($W$2+$X$2-$W$126-$X$126)*(L126)</f>
        <v>421.18217999999979</v>
      </c>
      <c r="AD126" s="4">
        <f t="shared" si="9"/>
        <v>0</v>
      </c>
      <c r="AE126" s="4">
        <f ca="1">(L126-M126)*(Z126+AA126)+($Z$2+$AA$2-$Z$126-$AA$126)*(L126)</f>
        <v>245.34885012344935</v>
      </c>
      <c r="AF126" s="3" t="s">
        <v>625</v>
      </c>
    </row>
    <row r="127" spans="1:32" ht="11.25" customHeight="1" x14ac:dyDescent="0.3">
      <c r="A127" s="3" t="s">
        <v>21</v>
      </c>
      <c r="B127" s="3" t="s">
        <v>42</v>
      </c>
      <c r="C127" s="3" t="s">
        <v>23</v>
      </c>
      <c r="D127" s="3" t="s">
        <v>43</v>
      </c>
      <c r="E127" s="3" t="s">
        <v>25</v>
      </c>
      <c r="F127" s="3" t="s">
        <v>25</v>
      </c>
      <c r="G127" s="3" t="s">
        <v>25</v>
      </c>
      <c r="H127" s="3" t="s">
        <v>25</v>
      </c>
      <c r="I127" s="6">
        <v>44531</v>
      </c>
      <c r="J127" s="4">
        <v>0</v>
      </c>
      <c r="K127" s="4">
        <v>0</v>
      </c>
      <c r="L127" s="4">
        <v>530.64599999999996</v>
      </c>
      <c r="M127" s="4">
        <v>530.64599999999996</v>
      </c>
      <c r="N127" s="4">
        <v>530.64599999999996</v>
      </c>
      <c r="O127" s="4">
        <v>530.64599999999996</v>
      </c>
      <c r="P127" s="4">
        <v>1664</v>
      </c>
      <c r="Q127" s="3" t="s">
        <v>26</v>
      </c>
      <c r="R127" s="3">
        <v>0</v>
      </c>
      <c r="S127" s="3">
        <v>0</v>
      </c>
      <c r="T127" s="3">
        <v>31</v>
      </c>
      <c r="U127" s="3">
        <v>69</v>
      </c>
      <c r="V127" s="4">
        <f>IF(ISERROR(VLOOKUP($S$127,'TAR FIN'!$A$1:$O$88,15,0)),0,VLOOKUP($S$127,'TAR FIN'!$A$1:$O$88,15,0))</f>
        <v>0</v>
      </c>
      <c r="W127" s="4">
        <f>IF(ISERROR(VLOOKUP($T$127,'TAR FIN'!$A$1:$O$88,15,0)),0,VLOOKUP($T$127,'TAR FIN'!$A$1:$O$88,15,0))</f>
        <v>269.45</v>
      </c>
      <c r="X127" s="4">
        <f>IF(ISERROR(VLOOKUP($U$127,'TAR FIN'!$A$1:$O$88,15,0)),0,VLOOKUP($U$127,'TAR FIN'!$A$1:$O$88,15,0))</f>
        <v>213.27</v>
      </c>
      <c r="Y127" s="4"/>
      <c r="Z127" s="4">
        <f ca="1">('TUSD BE'!$AM$33+'TUSD BF'!$AM$33+'TUSD CVA'!$AM$33)*(1-CUSTOS!$M$38)</f>
        <v>421.14033355107131</v>
      </c>
      <c r="AA127" s="4">
        <f>('TE BE'!$AB$23+'TE BF'!$AB$23+'TE CVA'!$AB$23)*(1-CUSTOS!$M$38)</f>
        <v>179.54706321936715</v>
      </c>
      <c r="AB127" s="4">
        <f t="shared" si="8"/>
        <v>0</v>
      </c>
      <c r="AC127" s="4">
        <f>(L127-M127)*(W127+X127)+($W$2+$X$2-$W$127-$X$127)*(L127)</f>
        <v>34927.119719999981</v>
      </c>
      <c r="AD127" s="4">
        <f t="shared" si="9"/>
        <v>0</v>
      </c>
      <c r="AE127" s="4">
        <f ca="1">(L127-M127)*(Z127+AA127)+($Z$2+$AA$2-$Z$127-$AA$127)*(L127)</f>
        <v>20345.895596594451</v>
      </c>
      <c r="AF127" s="3" t="s">
        <v>625</v>
      </c>
    </row>
    <row r="128" spans="1:32" ht="11.25" customHeight="1" x14ac:dyDescent="0.3">
      <c r="A128" s="3" t="s">
        <v>27</v>
      </c>
      <c r="B128" s="3" t="s">
        <v>42</v>
      </c>
      <c r="C128" s="3" t="s">
        <v>23</v>
      </c>
      <c r="D128" s="3" t="s">
        <v>43</v>
      </c>
      <c r="E128" s="3" t="s">
        <v>25</v>
      </c>
      <c r="F128" s="3" t="s">
        <v>25</v>
      </c>
      <c r="G128" s="3" t="s">
        <v>25</v>
      </c>
      <c r="H128" s="3" t="s">
        <v>25</v>
      </c>
      <c r="I128" s="6">
        <v>44531</v>
      </c>
      <c r="J128" s="4">
        <v>0</v>
      </c>
      <c r="K128" s="4">
        <v>0</v>
      </c>
      <c r="L128" s="4">
        <v>-0.61599999999999999</v>
      </c>
      <c r="M128" s="4">
        <v>-0.61599999999999999</v>
      </c>
      <c r="N128" s="4">
        <v>-0.61599999999999999</v>
      </c>
      <c r="O128" s="4">
        <v>-0.61599999999999999</v>
      </c>
      <c r="P128" s="4">
        <v>0</v>
      </c>
      <c r="Q128" s="3" t="s">
        <v>26</v>
      </c>
      <c r="R128" s="3">
        <v>0</v>
      </c>
      <c r="S128" s="3">
        <v>0</v>
      </c>
      <c r="T128" s="3">
        <v>31</v>
      </c>
      <c r="U128" s="3">
        <v>69</v>
      </c>
      <c r="V128" s="4">
        <f>IF(ISERROR(VLOOKUP($S$128,'TAR FIN'!$A$1:$O$88,15,0)),0,VLOOKUP($S$128,'TAR FIN'!$A$1:$O$88,15,0))</f>
        <v>0</v>
      </c>
      <c r="W128" s="4">
        <f>IF(ISERROR(VLOOKUP($T$128,'TAR FIN'!$A$1:$O$88,15,0)),0,VLOOKUP($T$128,'TAR FIN'!$A$1:$O$88,15,0))</f>
        <v>269.45</v>
      </c>
      <c r="X128" s="4">
        <f>IF(ISERROR(VLOOKUP($U$128,'TAR FIN'!$A$1:$O$88,15,0)),0,VLOOKUP($U$128,'TAR FIN'!$A$1:$O$88,15,0))</f>
        <v>213.27</v>
      </c>
      <c r="Y128" s="4"/>
      <c r="Z128" s="4">
        <f ca="1">('TUSD BE'!$AM$33+'TUSD BF'!$AM$33+'TUSD CVA'!$AM$33)*(1-CUSTOS!$M$38)</f>
        <v>421.14033355107131</v>
      </c>
      <c r="AA128" s="4">
        <f>('TE BE'!$AB$23+'TE BF'!$AB$23+'TE CVA'!$AB$23)*(1-CUSTOS!$M$38)</f>
        <v>179.54706321936715</v>
      </c>
      <c r="AB128" s="4">
        <f t="shared" si="8"/>
        <v>0</v>
      </c>
      <c r="AC128" s="4">
        <f>(L128-M128)*(W128+X128)+($W$2+$X$2-$W$128-$X$128)*(L128)</f>
        <v>-40.545119999999976</v>
      </c>
      <c r="AD128" s="4">
        <f t="shared" si="9"/>
        <v>0</v>
      </c>
      <c r="AE128" s="4">
        <f ca="1">(L128-M128)*(Z128+AA128)+($Z$2+$AA$2-$Z$128-$AA$128)*(L128)</f>
        <v>-23.618517217697267</v>
      </c>
      <c r="AF128" s="3" t="s">
        <v>625</v>
      </c>
    </row>
    <row r="129" spans="1:32" ht="11.25" customHeight="1" x14ac:dyDescent="0.3">
      <c r="A129" s="3" t="s">
        <v>28</v>
      </c>
      <c r="B129" s="3" t="s">
        <v>42</v>
      </c>
      <c r="C129" s="3" t="s">
        <v>23</v>
      </c>
      <c r="D129" s="3" t="s">
        <v>43</v>
      </c>
      <c r="E129" s="3" t="s">
        <v>25</v>
      </c>
      <c r="F129" s="3" t="s">
        <v>25</v>
      </c>
      <c r="G129" s="3" t="s">
        <v>25</v>
      </c>
      <c r="H129" s="3" t="s">
        <v>25</v>
      </c>
      <c r="I129" s="6">
        <v>44531</v>
      </c>
      <c r="J129" s="4">
        <v>0</v>
      </c>
      <c r="K129" s="4">
        <v>0</v>
      </c>
      <c r="L129" s="4">
        <v>11.766</v>
      </c>
      <c r="M129" s="4">
        <v>11.766</v>
      </c>
      <c r="N129" s="4">
        <v>11.766</v>
      </c>
      <c r="O129" s="4">
        <v>11.766</v>
      </c>
      <c r="P129" s="4">
        <v>21</v>
      </c>
      <c r="Q129" s="3" t="s">
        <v>26</v>
      </c>
      <c r="R129" s="3">
        <v>0</v>
      </c>
      <c r="S129" s="3">
        <v>0</v>
      </c>
      <c r="T129" s="3">
        <v>31</v>
      </c>
      <c r="U129" s="3">
        <v>69</v>
      </c>
      <c r="V129" s="4">
        <f>IF(ISERROR(VLOOKUP($S$129,'TAR FIN'!$A$1:$O$88,15,0)),0,VLOOKUP($S$129,'TAR FIN'!$A$1:$O$88,15,0))</f>
        <v>0</v>
      </c>
      <c r="W129" s="4">
        <f>IF(ISERROR(VLOOKUP($T$129,'TAR FIN'!$A$1:$O$88,15,0)),0,VLOOKUP($T$129,'TAR FIN'!$A$1:$O$88,15,0))</f>
        <v>269.45</v>
      </c>
      <c r="X129" s="4">
        <f>IF(ISERROR(VLOOKUP($U$129,'TAR FIN'!$A$1:$O$88,15,0)),0,VLOOKUP($U$129,'TAR FIN'!$A$1:$O$88,15,0))</f>
        <v>213.27</v>
      </c>
      <c r="Y129" s="4"/>
      <c r="Z129" s="4">
        <f ca="1">('TUSD BE'!$AM$33+'TUSD BF'!$AM$33+'TUSD CVA'!$AM$33)*(1-CUSTOS!$M$38)</f>
        <v>421.14033355107131</v>
      </c>
      <c r="AA129" s="4">
        <f>('TE BE'!$AB$23+'TE BF'!$AB$23+'TE CVA'!$AB$23)*(1-CUSTOS!$M$38)</f>
        <v>179.54706321936715</v>
      </c>
      <c r="AB129" s="4">
        <f t="shared" si="8"/>
        <v>0</v>
      </c>
      <c r="AC129" s="4">
        <f>(L129-M129)*(W129+X129)+($W$2+$X$2-$W$129-$X$129)*(L129)</f>
        <v>774.43811999999957</v>
      </c>
      <c r="AD129" s="4">
        <f t="shared" si="9"/>
        <v>0</v>
      </c>
      <c r="AE129" s="4">
        <f ca="1">(L129-M129)*(Z129+AA129)+($Z$2+$AA$2-$Z$129-$AA$129)*(L129)</f>
        <v>451.12901555750977</v>
      </c>
      <c r="AF129" s="3" t="s">
        <v>625</v>
      </c>
    </row>
    <row r="130" spans="1:32" ht="11.25" customHeight="1" x14ac:dyDescent="0.3">
      <c r="A130" s="3" t="s">
        <v>21</v>
      </c>
      <c r="B130" s="3" t="s">
        <v>42</v>
      </c>
      <c r="C130" s="3" t="s">
        <v>23</v>
      </c>
      <c r="D130" s="3" t="s">
        <v>43</v>
      </c>
      <c r="E130" s="3" t="s">
        <v>25</v>
      </c>
      <c r="F130" s="3" t="s">
        <v>25</v>
      </c>
      <c r="G130" s="3" t="s">
        <v>25</v>
      </c>
      <c r="H130" s="3" t="s">
        <v>25</v>
      </c>
      <c r="I130" s="6">
        <v>44562</v>
      </c>
      <c r="J130" s="4">
        <v>0</v>
      </c>
      <c r="K130" s="4">
        <v>0</v>
      </c>
      <c r="L130" s="4">
        <v>526.49800000000005</v>
      </c>
      <c r="M130" s="4">
        <v>526.49800000000005</v>
      </c>
      <c r="N130" s="4">
        <v>526.49800000000005</v>
      </c>
      <c r="O130" s="4">
        <v>526.49800000000005</v>
      </c>
      <c r="P130" s="4">
        <v>1665</v>
      </c>
      <c r="Q130" s="3" t="s">
        <v>26</v>
      </c>
      <c r="R130" s="3">
        <v>0</v>
      </c>
      <c r="S130" s="3">
        <v>0</v>
      </c>
      <c r="T130" s="3">
        <v>31</v>
      </c>
      <c r="U130" s="3">
        <v>69</v>
      </c>
      <c r="V130" s="4">
        <f>IF(ISERROR(VLOOKUP($S$130,'TAR FIN'!$A$1:$O$88,15,0)),0,VLOOKUP($S$130,'TAR FIN'!$A$1:$O$88,15,0))</f>
        <v>0</v>
      </c>
      <c r="W130" s="4">
        <f>IF(ISERROR(VLOOKUP($T$130,'TAR FIN'!$A$1:$O$88,15,0)),0,VLOOKUP($T$130,'TAR FIN'!$A$1:$O$88,15,0))</f>
        <v>269.45</v>
      </c>
      <c r="X130" s="4">
        <f>IF(ISERROR(VLOOKUP($U$130,'TAR FIN'!$A$1:$O$88,15,0)),0,VLOOKUP($U$130,'TAR FIN'!$A$1:$O$88,15,0))</f>
        <v>213.27</v>
      </c>
      <c r="Y130" s="4"/>
      <c r="Z130" s="4">
        <f ca="1">('TUSD BE'!$AM$33+'TUSD BF'!$AM$33+'TUSD CVA'!$AM$33)*(1-CUSTOS!$M$38)</f>
        <v>421.14033355107131</v>
      </c>
      <c r="AA130" s="4">
        <f>('TE BE'!$AB$23+'TE BF'!$AB$23+'TE CVA'!$AB$23)*(1-CUSTOS!$M$38)</f>
        <v>179.54706321936715</v>
      </c>
      <c r="AB130" s="4">
        <f t="shared" ref="AB130:AB152" si="10">(J130-K130)*V130</f>
        <v>0</v>
      </c>
      <c r="AC130" s="4">
        <f>(L130-M130)*(W130+X130)+($W$2+$X$2-$W$130-$X$130)*(L130)</f>
        <v>34654.098359999982</v>
      </c>
      <c r="AD130" s="4">
        <f t="shared" ref="AD130:AD152" si="11">(J130-K130)*Y130</f>
        <v>0</v>
      </c>
      <c r="AE130" s="4">
        <f ca="1">(L130-M130)*(Z130+AA130)+($Z$2+$AA$2-$Z$130-$AA$130)*(L130)</f>
        <v>20186.854022862299</v>
      </c>
      <c r="AF130" s="3" t="s">
        <v>625</v>
      </c>
    </row>
    <row r="131" spans="1:32" ht="11.25" customHeight="1" x14ac:dyDescent="0.3">
      <c r="A131" s="3" t="s">
        <v>27</v>
      </c>
      <c r="B131" s="3" t="s">
        <v>42</v>
      </c>
      <c r="C131" s="3" t="s">
        <v>23</v>
      </c>
      <c r="D131" s="3" t="s">
        <v>43</v>
      </c>
      <c r="E131" s="3" t="s">
        <v>25</v>
      </c>
      <c r="F131" s="3" t="s">
        <v>25</v>
      </c>
      <c r="G131" s="3" t="s">
        <v>25</v>
      </c>
      <c r="H131" s="3" t="s">
        <v>25</v>
      </c>
      <c r="I131" s="6">
        <v>44562</v>
      </c>
      <c r="J131" s="4">
        <v>0</v>
      </c>
      <c r="K131" s="4">
        <v>0</v>
      </c>
      <c r="L131" s="4">
        <v>-0.33300000000000002</v>
      </c>
      <c r="M131" s="4">
        <v>-0.33300000000000002</v>
      </c>
      <c r="N131" s="4">
        <v>-0.33300000000000002</v>
      </c>
      <c r="O131" s="4">
        <v>-0.33300000000000002</v>
      </c>
      <c r="P131" s="4">
        <v>0</v>
      </c>
      <c r="Q131" s="3" t="s">
        <v>26</v>
      </c>
      <c r="R131" s="3">
        <v>0</v>
      </c>
      <c r="S131" s="3">
        <v>0</v>
      </c>
      <c r="T131" s="3">
        <v>31</v>
      </c>
      <c r="U131" s="3">
        <v>69</v>
      </c>
      <c r="V131" s="4">
        <f>IF(ISERROR(VLOOKUP($S$131,'TAR FIN'!$A$1:$O$88,15,0)),0,VLOOKUP($S$131,'TAR FIN'!$A$1:$O$88,15,0))</f>
        <v>0</v>
      </c>
      <c r="W131" s="4">
        <f>IF(ISERROR(VLOOKUP($T$131,'TAR FIN'!$A$1:$O$88,15,0)),0,VLOOKUP($T$131,'TAR FIN'!$A$1:$O$88,15,0))</f>
        <v>269.45</v>
      </c>
      <c r="X131" s="4">
        <f>IF(ISERROR(VLOOKUP($U$131,'TAR FIN'!$A$1:$O$88,15,0)),0,VLOOKUP($U$131,'TAR FIN'!$A$1:$O$88,15,0))</f>
        <v>213.27</v>
      </c>
      <c r="Y131" s="4"/>
      <c r="Z131" s="4">
        <f ca="1">('TUSD BE'!$AM$33+'TUSD BF'!$AM$33+'TUSD CVA'!$AM$33)*(1-CUSTOS!$M$38)</f>
        <v>421.14033355107131</v>
      </c>
      <c r="AA131" s="4">
        <f>('TE BE'!$AB$23+'TE BF'!$AB$23+'TE CVA'!$AB$23)*(1-CUSTOS!$M$38)</f>
        <v>179.54706321936715</v>
      </c>
      <c r="AB131" s="4">
        <f t="shared" si="10"/>
        <v>0</v>
      </c>
      <c r="AC131" s="4">
        <f>(L131-M131)*(W131+X131)+($W$2+$X$2-$W$131-$X$131)*(L131)</f>
        <v>-21.91805999999999</v>
      </c>
      <c r="AD131" s="4">
        <f t="shared" si="11"/>
        <v>0</v>
      </c>
      <c r="AE131" s="4">
        <f ca="1">(L131-M131)*(Z131+AA131)+($Z$2+$AA$2-$Z$131-$AA$131)*(L131)</f>
        <v>-12.767802327099334</v>
      </c>
      <c r="AF131" s="3" t="s">
        <v>625</v>
      </c>
    </row>
    <row r="132" spans="1:32" ht="11.25" customHeight="1" x14ac:dyDescent="0.3">
      <c r="A132" s="3" t="s">
        <v>28</v>
      </c>
      <c r="B132" s="3" t="s">
        <v>42</v>
      </c>
      <c r="C132" s="3" t="s">
        <v>23</v>
      </c>
      <c r="D132" s="3" t="s">
        <v>43</v>
      </c>
      <c r="E132" s="3" t="s">
        <v>25</v>
      </c>
      <c r="F132" s="3" t="s">
        <v>25</v>
      </c>
      <c r="G132" s="3" t="s">
        <v>25</v>
      </c>
      <c r="H132" s="3" t="s">
        <v>25</v>
      </c>
      <c r="I132" s="6">
        <v>44562</v>
      </c>
      <c r="J132" s="4">
        <v>0</v>
      </c>
      <c r="K132" s="4">
        <v>0</v>
      </c>
      <c r="L132" s="4">
        <v>6.0789999999999997</v>
      </c>
      <c r="M132" s="4">
        <v>6.0789999999999997</v>
      </c>
      <c r="N132" s="4">
        <v>6.0789999999999997</v>
      </c>
      <c r="O132" s="4">
        <v>6.0789999999999997</v>
      </c>
      <c r="P132" s="4">
        <v>22</v>
      </c>
      <c r="Q132" s="3" t="s">
        <v>26</v>
      </c>
      <c r="R132" s="3">
        <v>0</v>
      </c>
      <c r="S132" s="3">
        <v>0</v>
      </c>
      <c r="T132" s="3">
        <v>31</v>
      </c>
      <c r="U132" s="3">
        <v>69</v>
      </c>
      <c r="V132" s="4">
        <f>IF(ISERROR(VLOOKUP($S$132,'TAR FIN'!$A$1:$O$88,15,0)),0,VLOOKUP($S$132,'TAR FIN'!$A$1:$O$88,15,0))</f>
        <v>0</v>
      </c>
      <c r="W132" s="4">
        <f>IF(ISERROR(VLOOKUP($T$132,'TAR FIN'!$A$1:$O$88,15,0)),0,VLOOKUP($T$132,'TAR FIN'!$A$1:$O$88,15,0))</f>
        <v>269.45</v>
      </c>
      <c r="X132" s="4">
        <f>IF(ISERROR(VLOOKUP($U$132,'TAR FIN'!$A$1:$O$88,15,0)),0,VLOOKUP($U$132,'TAR FIN'!$A$1:$O$88,15,0))</f>
        <v>213.27</v>
      </c>
      <c r="Y132" s="4"/>
      <c r="Z132" s="4">
        <f ca="1">('TUSD BE'!$AM$33+'TUSD BF'!$AM$33+'TUSD CVA'!$AM$33)*(1-CUSTOS!$M$38)</f>
        <v>421.14033355107131</v>
      </c>
      <c r="AA132" s="4">
        <f>('TE BE'!$AB$23+'TE BF'!$AB$23+'TE CVA'!$AB$23)*(1-CUSTOS!$M$38)</f>
        <v>179.54706321936715</v>
      </c>
      <c r="AB132" s="4">
        <f t="shared" si="10"/>
        <v>0</v>
      </c>
      <c r="AC132" s="4">
        <f>(L132-M132)*(W132+X132)+($W$2+$X$2-$W$132-$X$132)*(L132)</f>
        <v>400.11977999999976</v>
      </c>
      <c r="AD132" s="4">
        <f t="shared" si="11"/>
        <v>0</v>
      </c>
      <c r="AE132" s="4">
        <f ca="1">(L132-M132)*(Z132+AA132)+($Z$2+$AA$2-$Z$132-$AA$132)*(L132)</f>
        <v>233.07949052984037</v>
      </c>
      <c r="AF132" s="3" t="s">
        <v>625</v>
      </c>
    </row>
    <row r="133" spans="1:32" ht="11.25" customHeight="1" x14ac:dyDescent="0.3">
      <c r="A133" s="3" t="s">
        <v>21</v>
      </c>
      <c r="B133" s="3" t="s">
        <v>42</v>
      </c>
      <c r="C133" s="3" t="s">
        <v>23</v>
      </c>
      <c r="D133" s="3" t="s">
        <v>43</v>
      </c>
      <c r="E133" s="3" t="s">
        <v>25</v>
      </c>
      <c r="F133" s="3" t="s">
        <v>25</v>
      </c>
      <c r="G133" s="3" t="s">
        <v>25</v>
      </c>
      <c r="H133" s="3" t="s">
        <v>25</v>
      </c>
      <c r="I133" s="6">
        <v>44593</v>
      </c>
      <c r="J133" s="4">
        <v>0</v>
      </c>
      <c r="K133" s="4">
        <v>0</v>
      </c>
      <c r="L133" s="4">
        <v>527.05999999999995</v>
      </c>
      <c r="M133" s="4">
        <v>527.05999999999995</v>
      </c>
      <c r="N133" s="4">
        <v>527.05999999999995</v>
      </c>
      <c r="O133" s="4">
        <v>527.05999999999995</v>
      </c>
      <c r="P133" s="4">
        <v>1666</v>
      </c>
      <c r="Q133" s="3" t="s">
        <v>26</v>
      </c>
      <c r="R133" s="3">
        <v>0</v>
      </c>
      <c r="S133" s="3">
        <v>0</v>
      </c>
      <c r="T133" s="3">
        <v>31</v>
      </c>
      <c r="U133" s="3">
        <v>69</v>
      </c>
      <c r="V133" s="4">
        <f>IF(ISERROR(VLOOKUP($S$133,'TAR FIN'!$A$1:$O$88,15,0)),0,VLOOKUP($S$133,'TAR FIN'!$A$1:$O$88,15,0))</f>
        <v>0</v>
      </c>
      <c r="W133" s="4">
        <f>IF(ISERROR(VLOOKUP($T$133,'TAR FIN'!$A$1:$O$88,15,0)),0,VLOOKUP($T$133,'TAR FIN'!$A$1:$O$88,15,0))</f>
        <v>269.45</v>
      </c>
      <c r="X133" s="4">
        <f>IF(ISERROR(VLOOKUP($U$133,'TAR FIN'!$A$1:$O$88,15,0)),0,VLOOKUP($U$133,'TAR FIN'!$A$1:$O$88,15,0))</f>
        <v>213.27</v>
      </c>
      <c r="Y133" s="4"/>
      <c r="Z133" s="4">
        <f ca="1">('TUSD BE'!$AM$33+'TUSD BF'!$AM$33+'TUSD CVA'!$AM$33)*(1-CUSTOS!$M$38)</f>
        <v>421.14033355107131</v>
      </c>
      <c r="AA133" s="4">
        <f>('TE BE'!$AB$23+'TE BF'!$AB$23+'TE CVA'!$AB$23)*(1-CUSTOS!$M$38)</f>
        <v>179.54706321936715</v>
      </c>
      <c r="AB133" s="4">
        <f t="shared" si="10"/>
        <v>0</v>
      </c>
      <c r="AC133" s="4">
        <f>(L133-M133)*(W133+X133)+($W$2+$X$2-$W$133-$X$133)*(L133)</f>
        <v>34691.08919999998</v>
      </c>
      <c r="AD133" s="4">
        <f t="shared" si="11"/>
        <v>0</v>
      </c>
      <c r="AE133" s="4">
        <f ca="1">(L133-M133)*(Z133+AA133)+($Z$2+$AA$2-$Z$133-$AA$133)*(L133)</f>
        <v>20208.402085648573</v>
      </c>
      <c r="AF133" s="3" t="s">
        <v>625</v>
      </c>
    </row>
    <row r="134" spans="1:32" ht="11.25" customHeight="1" x14ac:dyDescent="0.3">
      <c r="A134" s="3" t="s">
        <v>27</v>
      </c>
      <c r="B134" s="3" t="s">
        <v>42</v>
      </c>
      <c r="C134" s="3" t="s">
        <v>23</v>
      </c>
      <c r="D134" s="3" t="s">
        <v>43</v>
      </c>
      <c r="E134" s="3" t="s">
        <v>25</v>
      </c>
      <c r="F134" s="3" t="s">
        <v>25</v>
      </c>
      <c r="G134" s="3" t="s">
        <v>25</v>
      </c>
      <c r="H134" s="3" t="s">
        <v>25</v>
      </c>
      <c r="I134" s="6">
        <v>44593</v>
      </c>
      <c r="J134" s="4">
        <v>0</v>
      </c>
      <c r="K134" s="4">
        <v>0</v>
      </c>
      <c r="L134" s="4">
        <v>-2.5049999999999999</v>
      </c>
      <c r="M134" s="4">
        <v>-2.5049999999999999</v>
      </c>
      <c r="N134" s="4">
        <v>-2.5049999999999999</v>
      </c>
      <c r="O134" s="4">
        <v>-2.5049999999999999</v>
      </c>
      <c r="P134" s="4">
        <v>0</v>
      </c>
      <c r="Q134" s="3" t="s">
        <v>26</v>
      </c>
      <c r="R134" s="3">
        <v>0</v>
      </c>
      <c r="S134" s="3">
        <v>0</v>
      </c>
      <c r="T134" s="3">
        <v>31</v>
      </c>
      <c r="U134" s="3">
        <v>69</v>
      </c>
      <c r="V134" s="4">
        <f>IF(ISERROR(VLOOKUP($S$134,'TAR FIN'!$A$1:$O$88,15,0)),0,VLOOKUP($S$134,'TAR FIN'!$A$1:$O$88,15,0))</f>
        <v>0</v>
      </c>
      <c r="W134" s="4">
        <f>IF(ISERROR(VLOOKUP($T$134,'TAR FIN'!$A$1:$O$88,15,0)),0,VLOOKUP($T$134,'TAR FIN'!$A$1:$O$88,15,0))</f>
        <v>269.45</v>
      </c>
      <c r="X134" s="4">
        <f>IF(ISERROR(VLOOKUP($U$134,'TAR FIN'!$A$1:$O$88,15,0)),0,VLOOKUP($U$134,'TAR FIN'!$A$1:$O$88,15,0))</f>
        <v>213.27</v>
      </c>
      <c r="Y134" s="4"/>
      <c r="Z134" s="4">
        <f ca="1">('TUSD BE'!$AM$33+'TUSD BF'!$AM$33+'TUSD CVA'!$AM$33)*(1-CUSTOS!$M$38)</f>
        <v>421.14033355107131</v>
      </c>
      <c r="AA134" s="4">
        <f>('TE BE'!$AB$23+'TE BF'!$AB$23+'TE CVA'!$AB$23)*(1-CUSTOS!$M$38)</f>
        <v>179.54706321936715</v>
      </c>
      <c r="AB134" s="4">
        <f t="shared" si="10"/>
        <v>0</v>
      </c>
      <c r="AC134" s="4">
        <f>(L134-M134)*(W134+X134)+($W$2+$X$2-$W$134-$X$134)*(L134)</f>
        <v>-164.87909999999991</v>
      </c>
      <c r="AD134" s="4">
        <f t="shared" si="11"/>
        <v>0</v>
      </c>
      <c r="AE134" s="4">
        <f ca="1">(L134-M134)*(Z134+AA134)+($Z$2+$AA$2-$Z$134-$AA$134)*(L134)</f>
        <v>-96.046080568720214</v>
      </c>
      <c r="AF134" s="3" t="s">
        <v>625</v>
      </c>
    </row>
    <row r="135" spans="1:32" ht="11.25" customHeight="1" x14ac:dyDescent="0.3">
      <c r="A135" s="3" t="s">
        <v>28</v>
      </c>
      <c r="B135" s="3" t="s">
        <v>42</v>
      </c>
      <c r="C135" s="3" t="s">
        <v>23</v>
      </c>
      <c r="D135" s="3" t="s">
        <v>43</v>
      </c>
      <c r="E135" s="3" t="s">
        <v>25</v>
      </c>
      <c r="F135" s="3" t="s">
        <v>25</v>
      </c>
      <c r="G135" s="3" t="s">
        <v>25</v>
      </c>
      <c r="H135" s="3" t="s">
        <v>25</v>
      </c>
      <c r="I135" s="6">
        <v>44593</v>
      </c>
      <c r="J135" s="4">
        <v>0</v>
      </c>
      <c r="K135" s="4">
        <v>0</v>
      </c>
      <c r="L135" s="4">
        <v>2.11</v>
      </c>
      <c r="M135" s="4">
        <v>2.11</v>
      </c>
      <c r="N135" s="4">
        <v>2.11</v>
      </c>
      <c r="O135" s="4">
        <v>2.11</v>
      </c>
      <c r="P135" s="4">
        <v>19</v>
      </c>
      <c r="Q135" s="3" t="s">
        <v>26</v>
      </c>
      <c r="R135" s="3">
        <v>0</v>
      </c>
      <c r="S135" s="3">
        <v>0</v>
      </c>
      <c r="T135" s="3">
        <v>31</v>
      </c>
      <c r="U135" s="3">
        <v>69</v>
      </c>
      <c r="V135" s="4">
        <f>IF(ISERROR(VLOOKUP($S$135,'TAR FIN'!$A$1:$O$88,15,0)),0,VLOOKUP($S$135,'TAR FIN'!$A$1:$O$88,15,0))</f>
        <v>0</v>
      </c>
      <c r="W135" s="4">
        <f>IF(ISERROR(VLOOKUP($T$135,'TAR FIN'!$A$1:$O$88,15,0)),0,VLOOKUP($T$135,'TAR FIN'!$A$1:$O$88,15,0))</f>
        <v>269.45</v>
      </c>
      <c r="X135" s="4">
        <f>IF(ISERROR(VLOOKUP($U$135,'TAR FIN'!$A$1:$O$88,15,0)),0,VLOOKUP($U$135,'TAR FIN'!$A$1:$O$88,15,0))</f>
        <v>213.27</v>
      </c>
      <c r="Y135" s="4"/>
      <c r="Z135" s="4">
        <f ca="1">('TUSD BE'!$AM$33+'TUSD BF'!$AM$33+'TUSD CVA'!$AM$33)*(1-CUSTOS!$M$38)</f>
        <v>421.14033355107131</v>
      </c>
      <c r="AA135" s="4">
        <f>('TE BE'!$AB$23+'TE BF'!$AB$23+'TE CVA'!$AB$23)*(1-CUSTOS!$M$38)</f>
        <v>179.54706321936715</v>
      </c>
      <c r="AB135" s="4">
        <f t="shared" si="10"/>
        <v>0</v>
      </c>
      <c r="AC135" s="4">
        <f>(L135-M135)*(W135+X135)+($W$2+$X$2-$W$135-$X$135)*(L135)</f>
        <v>138.88019999999992</v>
      </c>
      <c r="AD135" s="4">
        <f t="shared" si="11"/>
        <v>0</v>
      </c>
      <c r="AE135" s="4">
        <f ca="1">(L135-M135)*(Z135+AA135)+($Z$2+$AA$2-$Z$135-$AA$135)*(L135)</f>
        <v>80.901089820359132</v>
      </c>
      <c r="AF135" s="3" t="s">
        <v>625</v>
      </c>
    </row>
    <row r="136" spans="1:32" ht="11.25" customHeight="1" x14ac:dyDescent="0.3">
      <c r="A136" s="3" t="s">
        <v>21</v>
      </c>
      <c r="B136" s="3" t="s">
        <v>42</v>
      </c>
      <c r="C136" s="3" t="s">
        <v>23</v>
      </c>
      <c r="D136" s="3" t="s">
        <v>43</v>
      </c>
      <c r="E136" s="3" t="s">
        <v>25</v>
      </c>
      <c r="F136" s="3" t="s">
        <v>25</v>
      </c>
      <c r="G136" s="3" t="s">
        <v>25</v>
      </c>
      <c r="H136" s="3" t="s">
        <v>25</v>
      </c>
      <c r="I136" s="6">
        <v>44621</v>
      </c>
      <c r="J136" s="4">
        <v>0</v>
      </c>
      <c r="K136" s="4">
        <v>0</v>
      </c>
      <c r="L136" s="4">
        <v>463.68700000000001</v>
      </c>
      <c r="M136" s="4">
        <v>463.68700000000001</v>
      </c>
      <c r="N136" s="4">
        <v>463.68700000000001</v>
      </c>
      <c r="O136" s="4">
        <v>463.68700000000001</v>
      </c>
      <c r="P136" s="4">
        <v>1623</v>
      </c>
      <c r="Q136" s="3" t="s">
        <v>26</v>
      </c>
      <c r="R136" s="3">
        <v>0</v>
      </c>
      <c r="S136" s="3">
        <v>0</v>
      </c>
      <c r="T136" s="3">
        <v>31</v>
      </c>
      <c r="U136" s="3">
        <v>69</v>
      </c>
      <c r="V136" s="4">
        <f>IF(ISERROR(VLOOKUP($S$136,'TAR FIN'!$A$1:$O$88,15,0)),0,VLOOKUP($S$136,'TAR FIN'!$A$1:$O$88,15,0))</f>
        <v>0</v>
      </c>
      <c r="W136" s="4">
        <f>IF(ISERROR(VLOOKUP($T$136,'TAR FIN'!$A$1:$O$88,15,0)),0,VLOOKUP($T$136,'TAR FIN'!$A$1:$O$88,15,0))</f>
        <v>269.45</v>
      </c>
      <c r="X136" s="4">
        <f>IF(ISERROR(VLOOKUP($U$136,'TAR FIN'!$A$1:$O$88,15,0)),0,VLOOKUP($U$136,'TAR FIN'!$A$1:$O$88,15,0))</f>
        <v>213.27</v>
      </c>
      <c r="Y136" s="4"/>
      <c r="Z136" s="4">
        <f ca="1">('TUSD BE'!$AM$33+'TUSD BF'!$AM$33+'TUSD CVA'!$AM$33)*(1-CUSTOS!$M$38)</f>
        <v>421.14033355107131</v>
      </c>
      <c r="AA136" s="4">
        <f>('TE BE'!$AB$23+'TE BF'!$AB$23+'TE CVA'!$AB$23)*(1-CUSTOS!$M$38)</f>
        <v>179.54706321936715</v>
      </c>
      <c r="AB136" s="4">
        <f t="shared" si="10"/>
        <v>0</v>
      </c>
      <c r="AC136" s="4">
        <f>(L136-M136)*(W136+X136)+($W$2+$X$2-$W$136-$X$136)*(L136)</f>
        <v>30519.878339999985</v>
      </c>
      <c r="AD136" s="4">
        <f t="shared" si="11"/>
        <v>0</v>
      </c>
      <c r="AE136" s="4">
        <f ca="1">(L136-M136)*(Z136+AA136)+($Z$2+$AA$2-$Z$136-$AA$136)*(L136)</f>
        <v>17778.570443380508</v>
      </c>
      <c r="AF136" s="3" t="s">
        <v>625</v>
      </c>
    </row>
    <row r="137" spans="1:32" ht="11.25" customHeight="1" x14ac:dyDescent="0.3">
      <c r="A137" s="3" t="s">
        <v>27</v>
      </c>
      <c r="B137" s="3" t="s">
        <v>42</v>
      </c>
      <c r="C137" s="3" t="s">
        <v>23</v>
      </c>
      <c r="D137" s="3" t="s">
        <v>43</v>
      </c>
      <c r="E137" s="3" t="s">
        <v>25</v>
      </c>
      <c r="F137" s="3" t="s">
        <v>25</v>
      </c>
      <c r="G137" s="3" t="s">
        <v>25</v>
      </c>
      <c r="H137" s="3" t="s">
        <v>25</v>
      </c>
      <c r="I137" s="6">
        <v>44621</v>
      </c>
      <c r="J137" s="4">
        <v>0</v>
      </c>
      <c r="K137" s="4">
        <v>0</v>
      </c>
      <c r="L137" s="4">
        <v>-0.53400000000000003</v>
      </c>
      <c r="M137" s="4">
        <v>-0.53400000000000003</v>
      </c>
      <c r="N137" s="4">
        <v>-0.53400000000000003</v>
      </c>
      <c r="O137" s="4">
        <v>-0.53400000000000003</v>
      </c>
      <c r="P137" s="4">
        <v>0</v>
      </c>
      <c r="Q137" s="3" t="s">
        <v>26</v>
      </c>
      <c r="R137" s="3">
        <v>0</v>
      </c>
      <c r="S137" s="3">
        <v>0</v>
      </c>
      <c r="T137" s="3">
        <v>31</v>
      </c>
      <c r="U137" s="3">
        <v>69</v>
      </c>
      <c r="V137" s="4">
        <f>IF(ISERROR(VLOOKUP($S$137,'TAR FIN'!$A$1:$O$88,15,0)),0,VLOOKUP($S$137,'TAR FIN'!$A$1:$O$88,15,0))</f>
        <v>0</v>
      </c>
      <c r="W137" s="4">
        <f>IF(ISERROR(VLOOKUP($T$137,'TAR FIN'!$A$1:$O$88,15,0)),0,VLOOKUP($T$137,'TAR FIN'!$A$1:$O$88,15,0))</f>
        <v>269.45</v>
      </c>
      <c r="X137" s="4">
        <f>IF(ISERROR(VLOOKUP($U$137,'TAR FIN'!$A$1:$O$88,15,0)),0,VLOOKUP($U$137,'TAR FIN'!$A$1:$O$88,15,0))</f>
        <v>213.27</v>
      </c>
      <c r="Y137" s="4"/>
      <c r="Z137" s="4">
        <f ca="1">('TUSD BE'!$AM$33+'TUSD BF'!$AM$33+'TUSD CVA'!$AM$33)*(1-CUSTOS!$M$38)</f>
        <v>421.14033355107131</v>
      </c>
      <c r="AA137" s="4">
        <f>('TE BE'!$AB$23+'TE BF'!$AB$23+'TE CVA'!$AB$23)*(1-CUSTOS!$M$38)</f>
        <v>179.54706321936715</v>
      </c>
      <c r="AB137" s="4">
        <f t="shared" si="10"/>
        <v>0</v>
      </c>
      <c r="AC137" s="4">
        <f>(L137-M137)*(W137+X137)+($W$2+$X$2-$W$137-$X$137)*(L137)</f>
        <v>-35.147879999999986</v>
      </c>
      <c r="AD137" s="4">
        <f t="shared" si="11"/>
        <v>0</v>
      </c>
      <c r="AE137" s="4">
        <f ca="1">(L137-M137)*(Z137+AA137)+($Z$2+$AA$2-$Z$137-$AA$137)*(L137)</f>
        <v>-20.474493821834969</v>
      </c>
      <c r="AF137" s="3" t="s">
        <v>625</v>
      </c>
    </row>
    <row r="138" spans="1:32" ht="11.25" customHeight="1" x14ac:dyDescent="0.3">
      <c r="A138" s="3" t="s">
        <v>28</v>
      </c>
      <c r="B138" s="3" t="s">
        <v>42</v>
      </c>
      <c r="C138" s="3" t="s">
        <v>23</v>
      </c>
      <c r="D138" s="3" t="s">
        <v>43</v>
      </c>
      <c r="E138" s="3" t="s">
        <v>25</v>
      </c>
      <c r="F138" s="3" t="s">
        <v>25</v>
      </c>
      <c r="G138" s="3" t="s">
        <v>25</v>
      </c>
      <c r="H138" s="3" t="s">
        <v>25</v>
      </c>
      <c r="I138" s="6">
        <v>44621</v>
      </c>
      <c r="J138" s="4">
        <v>0</v>
      </c>
      <c r="K138" s="4">
        <v>0</v>
      </c>
      <c r="L138" s="4">
        <v>2.7160000000000002</v>
      </c>
      <c r="M138" s="4">
        <v>2.7160000000000002</v>
      </c>
      <c r="N138" s="4">
        <v>2.7160000000000002</v>
      </c>
      <c r="O138" s="4">
        <v>2.7160000000000002</v>
      </c>
      <c r="P138" s="4">
        <v>19</v>
      </c>
      <c r="Q138" s="3" t="s">
        <v>26</v>
      </c>
      <c r="R138" s="3">
        <v>0</v>
      </c>
      <c r="S138" s="3">
        <v>0</v>
      </c>
      <c r="T138" s="3">
        <v>31</v>
      </c>
      <c r="U138" s="3">
        <v>69</v>
      </c>
      <c r="V138" s="4">
        <f>IF(ISERROR(VLOOKUP($S$138,'TAR FIN'!$A$1:$O$88,15,0)),0,VLOOKUP($S$138,'TAR FIN'!$A$1:$O$88,15,0))</f>
        <v>0</v>
      </c>
      <c r="W138" s="4">
        <f>IF(ISERROR(VLOOKUP($T$138,'TAR FIN'!$A$1:$O$88,15,0)),0,VLOOKUP($T$138,'TAR FIN'!$A$1:$O$88,15,0))</f>
        <v>269.45</v>
      </c>
      <c r="X138" s="4">
        <f>IF(ISERROR(VLOOKUP($U$138,'TAR FIN'!$A$1:$O$88,15,0)),0,VLOOKUP($U$138,'TAR FIN'!$A$1:$O$88,15,0))</f>
        <v>213.27</v>
      </c>
      <c r="Y138" s="4"/>
      <c r="Z138" s="4">
        <f ca="1">('TUSD BE'!$AM$33+'TUSD BF'!$AM$33+'TUSD CVA'!$AM$33)*(1-CUSTOS!$M$38)</f>
        <v>421.14033355107131</v>
      </c>
      <c r="AA138" s="4">
        <f>('TE BE'!$AB$23+'TE BF'!$AB$23+'TE CVA'!$AB$23)*(1-CUSTOS!$M$38)</f>
        <v>179.54706321936715</v>
      </c>
      <c r="AB138" s="4">
        <f t="shared" si="10"/>
        <v>0</v>
      </c>
      <c r="AC138" s="4">
        <f>(L138-M138)*(W138+X138)+($W$2+$X$2-$W$138-$X$138)*(L138)</f>
        <v>178.76711999999992</v>
      </c>
      <c r="AD138" s="4">
        <f t="shared" si="11"/>
        <v>0</v>
      </c>
      <c r="AE138" s="4">
        <f ca="1">(L138-M138)*(Z138+AA138)+($Z$2+$AA$2-$Z$138-$AA$138)*(L138)</f>
        <v>104.13618955075614</v>
      </c>
      <c r="AF138" s="3" t="s">
        <v>625</v>
      </c>
    </row>
    <row r="139" spans="1:32" ht="11.25" customHeight="1" x14ac:dyDescent="0.3">
      <c r="A139" s="3" t="s">
        <v>21</v>
      </c>
      <c r="B139" s="3" t="s">
        <v>42</v>
      </c>
      <c r="C139" s="3" t="s">
        <v>23</v>
      </c>
      <c r="D139" s="3" t="s">
        <v>43</v>
      </c>
      <c r="E139" s="3" t="s">
        <v>25</v>
      </c>
      <c r="F139" s="3" t="s">
        <v>25</v>
      </c>
      <c r="G139" s="3" t="s">
        <v>25</v>
      </c>
      <c r="H139" s="3" t="s">
        <v>25</v>
      </c>
      <c r="I139" s="6">
        <v>44652</v>
      </c>
      <c r="J139" s="4">
        <v>0</v>
      </c>
      <c r="K139" s="4">
        <v>0</v>
      </c>
      <c r="L139" s="4">
        <v>504.02499999999998</v>
      </c>
      <c r="M139" s="4">
        <v>504.02499999999998</v>
      </c>
      <c r="N139" s="4">
        <v>504.02499999999998</v>
      </c>
      <c r="O139" s="4">
        <v>504.02499999999998</v>
      </c>
      <c r="P139" s="4">
        <v>1584</v>
      </c>
      <c r="Q139" s="3" t="s">
        <v>26</v>
      </c>
      <c r="R139" s="3">
        <v>0</v>
      </c>
      <c r="S139" s="3">
        <v>0</v>
      </c>
      <c r="T139" s="3">
        <v>31</v>
      </c>
      <c r="U139" s="3">
        <v>69</v>
      </c>
      <c r="V139" s="4">
        <f>IF(ISERROR(VLOOKUP($S$139,'TAR FIN'!$A$1:$O$88,15,0)),0,VLOOKUP($S$139,'TAR FIN'!$A$1:$O$88,15,0))</f>
        <v>0</v>
      </c>
      <c r="W139" s="4">
        <f>IF(ISERROR(VLOOKUP($T$139,'TAR FIN'!$A$1:$O$88,15,0)),0,VLOOKUP($T$139,'TAR FIN'!$A$1:$O$88,15,0))</f>
        <v>269.45</v>
      </c>
      <c r="X139" s="4">
        <f>IF(ISERROR(VLOOKUP($U$139,'TAR FIN'!$A$1:$O$88,15,0)),0,VLOOKUP($U$139,'TAR FIN'!$A$1:$O$88,15,0))</f>
        <v>213.27</v>
      </c>
      <c r="Y139" s="4"/>
      <c r="Z139" s="4">
        <f ca="1">('TUSD BE'!$AM$33+'TUSD BF'!$AM$33+'TUSD CVA'!$AM$33)*(1-CUSTOS!$M$38)</f>
        <v>421.14033355107131</v>
      </c>
      <c r="AA139" s="4">
        <f>('TE BE'!$AB$23+'TE BF'!$AB$23+'TE CVA'!$AB$23)*(1-CUSTOS!$M$38)</f>
        <v>179.54706321936715</v>
      </c>
      <c r="AB139" s="4">
        <f t="shared" si="10"/>
        <v>0</v>
      </c>
      <c r="AC139" s="4">
        <f>(L139-M139)*(W139+X139)+($W$2+$X$2-$W$139-$X$139)*(L139)</f>
        <v>33174.925499999983</v>
      </c>
      <c r="AD139" s="4">
        <f t="shared" si="11"/>
        <v>0</v>
      </c>
      <c r="AE139" s="4">
        <f ca="1">(L139-M139)*(Z139+AA139)+($Z$2+$AA$2-$Z$139-$AA$139)*(L139)</f>
        <v>19325.199903652378</v>
      </c>
      <c r="AF139" s="3" t="s">
        <v>625</v>
      </c>
    </row>
    <row r="140" spans="1:32" ht="11.25" customHeight="1" x14ac:dyDescent="0.3">
      <c r="A140" s="3" t="s">
        <v>27</v>
      </c>
      <c r="B140" s="3" t="s">
        <v>42</v>
      </c>
      <c r="C140" s="3" t="s">
        <v>23</v>
      </c>
      <c r="D140" s="3" t="s">
        <v>43</v>
      </c>
      <c r="E140" s="3" t="s">
        <v>25</v>
      </c>
      <c r="F140" s="3" t="s">
        <v>25</v>
      </c>
      <c r="G140" s="3" t="s">
        <v>25</v>
      </c>
      <c r="H140" s="3" t="s">
        <v>25</v>
      </c>
      <c r="I140" s="6">
        <v>44652</v>
      </c>
      <c r="J140" s="4">
        <v>0</v>
      </c>
      <c r="K140" s="4">
        <v>0</v>
      </c>
      <c r="L140" s="4">
        <v>-0.1</v>
      </c>
      <c r="M140" s="4">
        <v>-0.1</v>
      </c>
      <c r="N140" s="4">
        <v>-0.1</v>
      </c>
      <c r="O140" s="4">
        <v>-0.1</v>
      </c>
      <c r="P140" s="4">
        <v>0</v>
      </c>
      <c r="Q140" s="3" t="s">
        <v>26</v>
      </c>
      <c r="R140" s="3">
        <v>0</v>
      </c>
      <c r="S140" s="3">
        <v>0</v>
      </c>
      <c r="T140" s="3">
        <v>31</v>
      </c>
      <c r="U140" s="3">
        <v>69</v>
      </c>
      <c r="V140" s="4">
        <f>IF(ISERROR(VLOOKUP($S$140,'TAR FIN'!$A$1:$O$88,15,0)),0,VLOOKUP($S$140,'TAR FIN'!$A$1:$O$88,15,0))</f>
        <v>0</v>
      </c>
      <c r="W140" s="4">
        <f>IF(ISERROR(VLOOKUP($T$140,'TAR FIN'!$A$1:$O$88,15,0)),0,VLOOKUP($T$140,'TAR FIN'!$A$1:$O$88,15,0))</f>
        <v>269.45</v>
      </c>
      <c r="X140" s="4">
        <f>IF(ISERROR(VLOOKUP($U$140,'TAR FIN'!$A$1:$O$88,15,0)),0,VLOOKUP($U$140,'TAR FIN'!$A$1:$O$88,15,0))</f>
        <v>213.27</v>
      </c>
      <c r="Y140" s="4"/>
      <c r="Z140" s="4">
        <f ca="1">('TUSD BE'!$AM$33+'TUSD BF'!$AM$33+'TUSD CVA'!$AM$33)*(1-CUSTOS!$M$38)</f>
        <v>421.14033355107131</v>
      </c>
      <c r="AA140" s="4">
        <f>('TE BE'!$AB$23+'TE BF'!$AB$23+'TE CVA'!$AB$23)*(1-CUSTOS!$M$38)</f>
        <v>179.54706321936715</v>
      </c>
      <c r="AB140" s="4">
        <f t="shared" si="10"/>
        <v>0</v>
      </c>
      <c r="AC140" s="4">
        <f>(L140-M140)*(W140+X140)+($W$2+$X$2-$W$140-$X$140)*(L140)</f>
        <v>-6.5819999999999972</v>
      </c>
      <c r="AD140" s="4">
        <f t="shared" si="11"/>
        <v>0</v>
      </c>
      <c r="AE140" s="4">
        <f ca="1">(L140-M140)*(Z140+AA140)+($Z$2+$AA$2-$Z$140-$AA$140)*(L140)</f>
        <v>-3.8341748730028034</v>
      </c>
      <c r="AF140" s="3" t="s">
        <v>625</v>
      </c>
    </row>
    <row r="141" spans="1:32" ht="11.25" customHeight="1" x14ac:dyDescent="0.3">
      <c r="A141" s="3" t="s">
        <v>28</v>
      </c>
      <c r="B141" s="3" t="s">
        <v>42</v>
      </c>
      <c r="C141" s="3" t="s">
        <v>23</v>
      </c>
      <c r="D141" s="3" t="s">
        <v>43</v>
      </c>
      <c r="E141" s="3" t="s">
        <v>25</v>
      </c>
      <c r="F141" s="3" t="s">
        <v>25</v>
      </c>
      <c r="G141" s="3" t="s">
        <v>25</v>
      </c>
      <c r="H141" s="3" t="s">
        <v>25</v>
      </c>
      <c r="I141" s="6">
        <v>44652</v>
      </c>
      <c r="J141" s="4">
        <v>0</v>
      </c>
      <c r="K141" s="4">
        <v>0</v>
      </c>
      <c r="L141" s="4">
        <v>3.0870000000000002</v>
      </c>
      <c r="M141" s="4">
        <v>3.0870000000000002</v>
      </c>
      <c r="N141" s="4">
        <v>3.0870000000000002</v>
      </c>
      <c r="O141" s="4">
        <v>3.0870000000000002</v>
      </c>
      <c r="P141" s="4">
        <v>21</v>
      </c>
      <c r="Q141" s="3" t="s">
        <v>26</v>
      </c>
      <c r="R141" s="3">
        <v>0</v>
      </c>
      <c r="S141" s="3">
        <v>0</v>
      </c>
      <c r="T141" s="3">
        <v>31</v>
      </c>
      <c r="U141" s="3">
        <v>69</v>
      </c>
      <c r="V141" s="4">
        <f>IF(ISERROR(VLOOKUP($S$141,'TAR FIN'!$A$1:$O$88,15,0)),0,VLOOKUP($S$141,'TAR FIN'!$A$1:$O$88,15,0))</f>
        <v>0</v>
      </c>
      <c r="W141" s="4">
        <f>IF(ISERROR(VLOOKUP($T$141,'TAR FIN'!$A$1:$O$88,15,0)),0,VLOOKUP($T$141,'TAR FIN'!$A$1:$O$88,15,0))</f>
        <v>269.45</v>
      </c>
      <c r="X141" s="4">
        <f>IF(ISERROR(VLOOKUP($U$141,'TAR FIN'!$A$1:$O$88,15,0)),0,VLOOKUP($U$141,'TAR FIN'!$A$1:$O$88,15,0))</f>
        <v>213.27</v>
      </c>
      <c r="Y141" s="4"/>
      <c r="Z141" s="4">
        <f ca="1">('TUSD BE'!$AM$33+'TUSD BF'!$AM$33+'TUSD CVA'!$AM$33)*(1-CUSTOS!$M$38)</f>
        <v>421.14033355107131</v>
      </c>
      <c r="AA141" s="4">
        <f>('TE BE'!$AB$23+'TE BF'!$AB$23+'TE CVA'!$AB$23)*(1-CUSTOS!$M$38)</f>
        <v>179.54706321936715</v>
      </c>
      <c r="AB141" s="4">
        <f t="shared" si="10"/>
        <v>0</v>
      </c>
      <c r="AC141" s="4">
        <f>(L141-M141)*(W141+X141)+($W$2+$X$2-$W$141-$X$141)*(L141)</f>
        <v>203.18633999999992</v>
      </c>
      <c r="AD141" s="4">
        <f t="shared" si="11"/>
        <v>0</v>
      </c>
      <c r="AE141" s="4">
        <f ca="1">(L141-M141)*(Z141+AA141)+($Z$2+$AA$2-$Z$141-$AA$141)*(L141)</f>
        <v>118.36097832959653</v>
      </c>
      <c r="AF141" s="3" t="s">
        <v>625</v>
      </c>
    </row>
    <row r="142" spans="1:32" ht="11.25" customHeight="1" x14ac:dyDescent="0.3">
      <c r="A142" s="3" t="s">
        <v>21</v>
      </c>
      <c r="B142" s="3" t="s">
        <v>42</v>
      </c>
      <c r="C142" s="3" t="s">
        <v>23</v>
      </c>
      <c r="D142" s="3" t="s">
        <v>43</v>
      </c>
      <c r="E142" s="3" t="s">
        <v>25</v>
      </c>
      <c r="F142" s="3" t="s">
        <v>25</v>
      </c>
      <c r="G142" s="3" t="s">
        <v>25</v>
      </c>
      <c r="H142" s="3" t="s">
        <v>25</v>
      </c>
      <c r="I142" s="6">
        <v>44682</v>
      </c>
      <c r="J142" s="4">
        <v>0</v>
      </c>
      <c r="K142" s="4">
        <v>0</v>
      </c>
      <c r="L142" s="4">
        <v>404.67</v>
      </c>
      <c r="M142" s="4">
        <v>404.67</v>
      </c>
      <c r="N142" s="4">
        <v>404.67</v>
      </c>
      <c r="O142" s="4">
        <v>404.67</v>
      </c>
      <c r="P142" s="4">
        <v>1557</v>
      </c>
      <c r="Q142" s="3" t="s">
        <v>26</v>
      </c>
      <c r="R142" s="3">
        <v>0</v>
      </c>
      <c r="S142" s="3">
        <v>0</v>
      </c>
      <c r="T142" s="3">
        <v>31</v>
      </c>
      <c r="U142" s="3">
        <v>69</v>
      </c>
      <c r="V142" s="4">
        <f>IF(ISERROR(VLOOKUP($S$142,'TAR FIN'!$A$1:$O$88,15,0)),0,VLOOKUP($S$142,'TAR FIN'!$A$1:$O$88,15,0))</f>
        <v>0</v>
      </c>
      <c r="W142" s="4">
        <f>IF(ISERROR(VLOOKUP($T$142,'TAR FIN'!$A$1:$O$88,15,0)),0,VLOOKUP($T$142,'TAR FIN'!$A$1:$O$88,15,0))</f>
        <v>269.45</v>
      </c>
      <c r="X142" s="4">
        <f>IF(ISERROR(VLOOKUP($U$142,'TAR FIN'!$A$1:$O$88,15,0)),0,VLOOKUP($U$142,'TAR FIN'!$A$1:$O$88,15,0))</f>
        <v>213.27</v>
      </c>
      <c r="Y142" s="4"/>
      <c r="Z142" s="4">
        <f ca="1">('TUSD BE'!$AM$33+'TUSD BF'!$AM$33+'TUSD CVA'!$AM$33)*(1-CUSTOS!$M$38)</f>
        <v>421.14033355107131</v>
      </c>
      <c r="AA142" s="4">
        <f>('TE BE'!$AB$23+'TE BF'!$AB$23+'TE CVA'!$AB$23)*(1-CUSTOS!$M$38)</f>
        <v>179.54706321936715</v>
      </c>
      <c r="AB142" s="4">
        <f t="shared" si="10"/>
        <v>0</v>
      </c>
      <c r="AC142" s="4">
        <f>(L142-M142)*(W142+X142)+($W$2+$X$2-$W$142-$X$142)*(L142)</f>
        <v>26635.379399999987</v>
      </c>
      <c r="AD142" s="4">
        <f t="shared" si="11"/>
        <v>0</v>
      </c>
      <c r="AE142" s="4">
        <f ca="1">(L142-M142)*(Z142+AA142)+($Z$2+$AA$2-$Z$142-$AA$142)*(L142)</f>
        <v>15515.755458580443</v>
      </c>
      <c r="AF142" s="3" t="s">
        <v>625</v>
      </c>
    </row>
    <row r="143" spans="1:32" ht="11.25" customHeight="1" x14ac:dyDescent="0.3">
      <c r="A143" s="3" t="s">
        <v>27</v>
      </c>
      <c r="B143" s="3" t="s">
        <v>42</v>
      </c>
      <c r="C143" s="3" t="s">
        <v>23</v>
      </c>
      <c r="D143" s="3" t="s">
        <v>43</v>
      </c>
      <c r="E143" s="3" t="s">
        <v>25</v>
      </c>
      <c r="F143" s="3" t="s">
        <v>25</v>
      </c>
      <c r="G143" s="3" t="s">
        <v>25</v>
      </c>
      <c r="H143" s="3" t="s">
        <v>25</v>
      </c>
      <c r="I143" s="6">
        <v>44682</v>
      </c>
      <c r="J143" s="4">
        <v>0</v>
      </c>
      <c r="K143" s="4">
        <v>0</v>
      </c>
      <c r="L143" s="4">
        <v>-0.159</v>
      </c>
      <c r="M143" s="4">
        <v>-0.159</v>
      </c>
      <c r="N143" s="4">
        <v>-0.159</v>
      </c>
      <c r="O143" s="4">
        <v>-0.159</v>
      </c>
      <c r="P143" s="4">
        <v>0</v>
      </c>
      <c r="Q143" s="3" t="s">
        <v>26</v>
      </c>
      <c r="R143" s="3">
        <v>0</v>
      </c>
      <c r="S143" s="3">
        <v>0</v>
      </c>
      <c r="T143" s="3">
        <v>31</v>
      </c>
      <c r="U143" s="3">
        <v>69</v>
      </c>
      <c r="V143" s="4">
        <f>IF(ISERROR(VLOOKUP($S$143,'TAR FIN'!$A$1:$O$88,15,0)),0,VLOOKUP($S$143,'TAR FIN'!$A$1:$O$88,15,0))</f>
        <v>0</v>
      </c>
      <c r="W143" s="4">
        <f>IF(ISERROR(VLOOKUP($T$143,'TAR FIN'!$A$1:$O$88,15,0)),0,VLOOKUP($T$143,'TAR FIN'!$A$1:$O$88,15,0))</f>
        <v>269.45</v>
      </c>
      <c r="X143" s="4">
        <f>IF(ISERROR(VLOOKUP($U$143,'TAR FIN'!$A$1:$O$88,15,0)),0,VLOOKUP($U$143,'TAR FIN'!$A$1:$O$88,15,0))</f>
        <v>213.27</v>
      </c>
      <c r="Y143" s="4"/>
      <c r="Z143" s="4">
        <f ca="1">('TUSD BE'!$AM$33+'TUSD BF'!$AM$33+'TUSD CVA'!$AM$33)*(1-CUSTOS!$M$38)</f>
        <v>421.14033355107131</v>
      </c>
      <c r="AA143" s="4">
        <f>('TE BE'!$AB$23+'TE BF'!$AB$23+'TE CVA'!$AB$23)*(1-CUSTOS!$M$38)</f>
        <v>179.54706321936715</v>
      </c>
      <c r="AB143" s="4">
        <f t="shared" si="10"/>
        <v>0</v>
      </c>
      <c r="AC143" s="4">
        <f>(L143-M143)*(W143+X143)+($W$2+$X$2-$W$143-$X$143)*(L143)</f>
        <v>-10.465379999999994</v>
      </c>
      <c r="AD143" s="4">
        <f t="shared" si="11"/>
        <v>0</v>
      </c>
      <c r="AE143" s="4">
        <f ca="1">(L143-M143)*(Z143+AA143)+($Z$2+$AA$2-$Z$143-$AA$143)*(L143)</f>
        <v>-6.0963380480744567</v>
      </c>
      <c r="AF143" s="3" t="s">
        <v>625</v>
      </c>
    </row>
    <row r="144" spans="1:32" ht="11.25" customHeight="1" x14ac:dyDescent="0.3">
      <c r="A144" s="3" t="s">
        <v>28</v>
      </c>
      <c r="B144" s="3" t="s">
        <v>42</v>
      </c>
      <c r="C144" s="3" t="s">
        <v>23</v>
      </c>
      <c r="D144" s="3" t="s">
        <v>43</v>
      </c>
      <c r="E144" s="3" t="s">
        <v>25</v>
      </c>
      <c r="F144" s="3" t="s">
        <v>25</v>
      </c>
      <c r="G144" s="3" t="s">
        <v>25</v>
      </c>
      <c r="H144" s="3" t="s">
        <v>25</v>
      </c>
      <c r="I144" s="6">
        <v>44682</v>
      </c>
      <c r="J144" s="4">
        <v>0</v>
      </c>
      <c r="K144" s="4">
        <v>0</v>
      </c>
      <c r="L144" s="4">
        <v>4.9390000000000001</v>
      </c>
      <c r="M144" s="4">
        <v>4.9390000000000001</v>
      </c>
      <c r="N144" s="4">
        <v>4.9390000000000001</v>
      </c>
      <c r="O144" s="4">
        <v>4.9390000000000001</v>
      </c>
      <c r="P144" s="4">
        <v>21</v>
      </c>
      <c r="Q144" s="3" t="s">
        <v>26</v>
      </c>
      <c r="R144" s="3">
        <v>0</v>
      </c>
      <c r="S144" s="3">
        <v>0</v>
      </c>
      <c r="T144" s="3">
        <v>31</v>
      </c>
      <c r="U144" s="3">
        <v>69</v>
      </c>
      <c r="V144" s="4">
        <f>IF(ISERROR(VLOOKUP($S$144,'TAR FIN'!$A$1:$O$88,15,0)),0,VLOOKUP($S$144,'TAR FIN'!$A$1:$O$88,15,0))</f>
        <v>0</v>
      </c>
      <c r="W144" s="4">
        <f>IF(ISERROR(VLOOKUP($T$144,'TAR FIN'!$A$1:$O$88,15,0)),0,VLOOKUP($T$144,'TAR FIN'!$A$1:$O$88,15,0))</f>
        <v>269.45</v>
      </c>
      <c r="X144" s="4">
        <f>IF(ISERROR(VLOOKUP($U$144,'TAR FIN'!$A$1:$O$88,15,0)),0,VLOOKUP($U$144,'TAR FIN'!$A$1:$O$88,15,0))</f>
        <v>213.27</v>
      </c>
      <c r="Y144" s="4"/>
      <c r="Z144" s="4">
        <f ca="1">('TUSD BE'!$AM$33+'TUSD BF'!$AM$33+'TUSD CVA'!$AM$33)*(1-CUSTOS!$M$38)</f>
        <v>421.14033355107131</v>
      </c>
      <c r="AA144" s="4">
        <f>('TE BE'!$AB$23+'TE BF'!$AB$23+'TE CVA'!$AB$23)*(1-CUSTOS!$M$38)</f>
        <v>179.54706321936715</v>
      </c>
      <c r="AB144" s="4">
        <f t="shared" si="10"/>
        <v>0</v>
      </c>
      <c r="AC144" s="4">
        <f>(L144-M144)*(W144+X144)+($W$2+$X$2-$W$144-$X$144)*(L144)</f>
        <v>325.0849799999998</v>
      </c>
      <c r="AD144" s="4">
        <f t="shared" si="11"/>
        <v>0</v>
      </c>
      <c r="AE144" s="4">
        <f ca="1">(L144-M144)*(Z144+AA144)+($Z$2+$AA$2-$Z$144-$AA$144)*(L144)</f>
        <v>189.36989697760845</v>
      </c>
      <c r="AF144" s="3" t="s">
        <v>625</v>
      </c>
    </row>
    <row r="145" spans="1:32" ht="11.25" customHeight="1" x14ac:dyDescent="0.3">
      <c r="A145" s="3" t="s">
        <v>21</v>
      </c>
      <c r="B145" s="3" t="s">
        <v>42</v>
      </c>
      <c r="C145" s="3" t="s">
        <v>23</v>
      </c>
      <c r="D145" s="3" t="s">
        <v>43</v>
      </c>
      <c r="E145" s="3" t="s">
        <v>25</v>
      </c>
      <c r="F145" s="3" t="s">
        <v>25</v>
      </c>
      <c r="G145" s="3" t="s">
        <v>25</v>
      </c>
      <c r="H145" s="3" t="s">
        <v>25</v>
      </c>
      <c r="I145" s="6">
        <v>44713</v>
      </c>
      <c r="J145" s="4">
        <v>0</v>
      </c>
      <c r="K145" s="4">
        <v>0</v>
      </c>
      <c r="L145" s="4">
        <v>383.12400000000002</v>
      </c>
      <c r="M145" s="4">
        <v>383.12400000000002</v>
      </c>
      <c r="N145" s="4">
        <v>383.12400000000002</v>
      </c>
      <c r="O145" s="4">
        <v>383.12400000000002</v>
      </c>
      <c r="P145" s="4">
        <v>1543</v>
      </c>
      <c r="Q145" s="3" t="s">
        <v>26</v>
      </c>
      <c r="R145" s="3">
        <v>0</v>
      </c>
      <c r="S145" s="3">
        <v>0</v>
      </c>
      <c r="T145" s="3">
        <v>31</v>
      </c>
      <c r="U145" s="3">
        <v>69</v>
      </c>
      <c r="V145" s="4">
        <f>IF(ISERROR(VLOOKUP($S$145,'TAR FIN'!$A$1:$O$88,15,0)),0,VLOOKUP($S$145,'TAR FIN'!$A$1:$O$88,15,0))</f>
        <v>0</v>
      </c>
      <c r="W145" s="4">
        <f>IF(ISERROR(VLOOKUP($T$145,'TAR FIN'!$A$1:$O$88,15,0)),0,VLOOKUP($T$145,'TAR FIN'!$A$1:$O$88,15,0))</f>
        <v>269.45</v>
      </c>
      <c r="X145" s="4">
        <f>IF(ISERROR(VLOOKUP($U$145,'TAR FIN'!$A$1:$O$88,15,0)),0,VLOOKUP($U$145,'TAR FIN'!$A$1:$O$88,15,0))</f>
        <v>213.27</v>
      </c>
      <c r="Y145" s="4"/>
      <c r="Z145" s="4">
        <f ca="1">('TUSD BE'!$AM$33+'TUSD BF'!$AM$33+'TUSD CVA'!$AM$33)*(1-CUSTOS!$M$38)</f>
        <v>421.14033355107131</v>
      </c>
      <c r="AA145" s="4">
        <f>('TE BE'!$AB$23+'TE BF'!$AB$23+'TE CVA'!$AB$23)*(1-CUSTOS!$M$38)</f>
        <v>179.54706321936715</v>
      </c>
      <c r="AB145" s="4">
        <f t="shared" si="10"/>
        <v>0</v>
      </c>
      <c r="AC145" s="4">
        <f>(L145-M145)*(W145+X145)+($W$2+$X$2-$W$145-$X$145)*(L145)</f>
        <v>25217.221679999988</v>
      </c>
      <c r="AD145" s="4">
        <f t="shared" si="11"/>
        <v>0</v>
      </c>
      <c r="AE145" s="4">
        <f ca="1">(L145-M145)*(Z145+AA145)+($Z$2+$AA$2-$Z$145-$AA$145)*(L145)</f>
        <v>14689.644140443261</v>
      </c>
      <c r="AF145" s="3" t="s">
        <v>625</v>
      </c>
    </row>
    <row r="146" spans="1:32" ht="11.25" customHeight="1" x14ac:dyDescent="0.3">
      <c r="A146" s="3" t="s">
        <v>28</v>
      </c>
      <c r="B146" s="3" t="s">
        <v>42</v>
      </c>
      <c r="C146" s="3" t="s">
        <v>23</v>
      </c>
      <c r="D146" s="3" t="s">
        <v>43</v>
      </c>
      <c r="E146" s="3" t="s">
        <v>25</v>
      </c>
      <c r="F146" s="3" t="s">
        <v>25</v>
      </c>
      <c r="G146" s="3" t="s">
        <v>25</v>
      </c>
      <c r="H146" s="3" t="s">
        <v>25</v>
      </c>
      <c r="I146" s="6">
        <v>44713</v>
      </c>
      <c r="J146" s="4">
        <v>0</v>
      </c>
      <c r="K146" s="4">
        <v>0</v>
      </c>
      <c r="L146" s="4">
        <v>7.4859999999999998</v>
      </c>
      <c r="M146" s="4">
        <v>7.4859999999999998</v>
      </c>
      <c r="N146" s="4">
        <v>7.4859999999999998</v>
      </c>
      <c r="O146" s="4">
        <v>7.4859999999999998</v>
      </c>
      <c r="P146" s="4">
        <v>22</v>
      </c>
      <c r="Q146" s="3" t="s">
        <v>26</v>
      </c>
      <c r="R146" s="3">
        <v>0</v>
      </c>
      <c r="S146" s="3">
        <v>0</v>
      </c>
      <c r="T146" s="3">
        <v>31</v>
      </c>
      <c r="U146" s="3">
        <v>69</v>
      </c>
      <c r="V146" s="4">
        <f>IF(ISERROR(VLOOKUP($S$146,'TAR FIN'!$A$1:$O$88,15,0)),0,VLOOKUP($S$146,'TAR FIN'!$A$1:$O$88,15,0))</f>
        <v>0</v>
      </c>
      <c r="W146" s="4">
        <f>IF(ISERROR(VLOOKUP($T$146,'TAR FIN'!$A$1:$O$88,15,0)),0,VLOOKUP($T$146,'TAR FIN'!$A$1:$O$88,15,0))</f>
        <v>269.45</v>
      </c>
      <c r="X146" s="4">
        <f>IF(ISERROR(VLOOKUP($U$146,'TAR FIN'!$A$1:$O$88,15,0)),0,VLOOKUP($U$146,'TAR FIN'!$A$1:$O$88,15,0))</f>
        <v>213.27</v>
      </c>
      <c r="Y146" s="4"/>
      <c r="Z146" s="4">
        <f ca="1">('TUSD BE'!$AM$33+'TUSD BF'!$AM$33+'TUSD CVA'!$AM$33)*(1-CUSTOS!$M$38)</f>
        <v>421.14033355107131</v>
      </c>
      <c r="AA146" s="4">
        <f>('TE BE'!$AB$23+'TE BF'!$AB$23+'TE CVA'!$AB$23)*(1-CUSTOS!$M$38)</f>
        <v>179.54706321936715</v>
      </c>
      <c r="AB146" s="4">
        <f t="shared" si="10"/>
        <v>0</v>
      </c>
      <c r="AC146" s="4">
        <f>(L146-M146)*(W146+X146)+($W$2+$X$2-$W$146-$X$146)*(L146)</f>
        <v>492.72851999999972</v>
      </c>
      <c r="AD146" s="4">
        <f t="shared" si="11"/>
        <v>0</v>
      </c>
      <c r="AE146" s="4">
        <f ca="1">(L146-M146)*(Z146+AA146)+($Z$2+$AA$2-$Z$146-$AA$146)*(L146)</f>
        <v>287.02633099298981</v>
      </c>
      <c r="AF146" s="3" t="s">
        <v>625</v>
      </c>
    </row>
    <row r="147" spans="1:32" ht="11.25" customHeight="1" x14ac:dyDescent="0.3">
      <c r="A147" s="3" t="s">
        <v>21</v>
      </c>
      <c r="B147" s="3" t="s">
        <v>42</v>
      </c>
      <c r="C147" s="3" t="s">
        <v>23</v>
      </c>
      <c r="D147" s="3" t="s">
        <v>43</v>
      </c>
      <c r="E147" s="3" t="s">
        <v>25</v>
      </c>
      <c r="F147" s="3" t="s">
        <v>25</v>
      </c>
      <c r="G147" s="3" t="s">
        <v>25</v>
      </c>
      <c r="H147" s="3" t="s">
        <v>25</v>
      </c>
      <c r="I147" s="6">
        <v>44743</v>
      </c>
      <c r="J147" s="4">
        <v>0</v>
      </c>
      <c r="K147" s="4">
        <v>0</v>
      </c>
      <c r="L147" s="4">
        <v>348.16500000000002</v>
      </c>
      <c r="M147" s="4">
        <v>348.16500000000002</v>
      </c>
      <c r="N147" s="4">
        <v>348.16500000000002</v>
      </c>
      <c r="O147" s="4">
        <v>348.16500000000002</v>
      </c>
      <c r="P147" s="4">
        <v>1534</v>
      </c>
      <c r="Q147" s="3" t="s">
        <v>26</v>
      </c>
      <c r="R147" s="3">
        <v>0</v>
      </c>
      <c r="S147" s="3">
        <v>0</v>
      </c>
      <c r="T147" s="3">
        <v>31</v>
      </c>
      <c r="U147" s="3">
        <v>69</v>
      </c>
      <c r="V147" s="4">
        <f>IF(ISERROR(VLOOKUP($S$147,'TAR FIN'!$A$1:$O$88,15,0)),0,VLOOKUP($S$147,'TAR FIN'!$A$1:$O$88,15,0))</f>
        <v>0</v>
      </c>
      <c r="W147" s="4">
        <f>IF(ISERROR(VLOOKUP($T$147,'TAR FIN'!$A$1:$O$88,15,0)),0,VLOOKUP($T$147,'TAR FIN'!$A$1:$O$88,15,0))</f>
        <v>269.45</v>
      </c>
      <c r="X147" s="4">
        <f>IF(ISERROR(VLOOKUP($U$147,'TAR FIN'!$A$1:$O$88,15,0)),0,VLOOKUP($U$147,'TAR FIN'!$A$1:$O$88,15,0))</f>
        <v>213.27</v>
      </c>
      <c r="Y147" s="4"/>
      <c r="Z147" s="4">
        <f ca="1">('TUSD BE'!$AM$33+'TUSD BF'!$AM$33+'TUSD CVA'!$AM$33)*(1-CUSTOS!$M$38)</f>
        <v>421.14033355107131</v>
      </c>
      <c r="AA147" s="4">
        <f>('TE BE'!$AB$23+'TE BF'!$AB$23+'TE CVA'!$AB$23)*(1-CUSTOS!$M$38)</f>
        <v>179.54706321936715</v>
      </c>
      <c r="AB147" s="4">
        <f t="shared" si="10"/>
        <v>0</v>
      </c>
      <c r="AC147" s="4">
        <f>(L147-M147)*(W147+X147)+($W$2+$X$2-$W$147-$X$147)*(L147)</f>
        <v>22916.22029999999</v>
      </c>
      <c r="AD147" s="4">
        <f t="shared" si="11"/>
        <v>0</v>
      </c>
      <c r="AE147" s="4">
        <f ca="1">(L147-M147)*(Z147+AA147)+($Z$2+$AA$2-$Z$147-$AA$147)*(L147)</f>
        <v>13349.25494659021</v>
      </c>
      <c r="AF147" s="3" t="s">
        <v>625</v>
      </c>
    </row>
    <row r="148" spans="1:32" ht="11.25" customHeight="1" x14ac:dyDescent="0.3">
      <c r="A148" s="3" t="s">
        <v>27</v>
      </c>
      <c r="B148" s="3" t="s">
        <v>42</v>
      </c>
      <c r="C148" s="3" t="s">
        <v>23</v>
      </c>
      <c r="D148" s="3" t="s">
        <v>43</v>
      </c>
      <c r="E148" s="3" t="s">
        <v>25</v>
      </c>
      <c r="F148" s="3" t="s">
        <v>25</v>
      </c>
      <c r="G148" s="3" t="s">
        <v>25</v>
      </c>
      <c r="H148" s="3" t="s">
        <v>25</v>
      </c>
      <c r="I148" s="6">
        <v>44743</v>
      </c>
      <c r="J148" s="4">
        <v>0</v>
      </c>
      <c r="K148" s="4">
        <v>0</v>
      </c>
      <c r="L148" s="4">
        <v>-3.19</v>
      </c>
      <c r="M148" s="4">
        <v>-3.19</v>
      </c>
      <c r="N148" s="4">
        <v>-3.19</v>
      </c>
      <c r="O148" s="4">
        <v>-3.19</v>
      </c>
      <c r="P148" s="4">
        <v>0</v>
      </c>
      <c r="Q148" s="3" t="s">
        <v>26</v>
      </c>
      <c r="R148" s="3">
        <v>0</v>
      </c>
      <c r="S148" s="3">
        <v>0</v>
      </c>
      <c r="T148" s="3">
        <v>31</v>
      </c>
      <c r="U148" s="3">
        <v>69</v>
      </c>
      <c r="V148" s="4">
        <f>IF(ISERROR(VLOOKUP($S$148,'TAR FIN'!$A$1:$O$88,15,0)),0,VLOOKUP($S$148,'TAR FIN'!$A$1:$O$88,15,0))</f>
        <v>0</v>
      </c>
      <c r="W148" s="4">
        <f>IF(ISERROR(VLOOKUP($T$148,'TAR FIN'!$A$1:$O$88,15,0)),0,VLOOKUP($T$148,'TAR FIN'!$A$1:$O$88,15,0))</f>
        <v>269.45</v>
      </c>
      <c r="X148" s="4">
        <f>IF(ISERROR(VLOOKUP($U$148,'TAR FIN'!$A$1:$O$88,15,0)),0,VLOOKUP($U$148,'TAR FIN'!$A$1:$O$88,15,0))</f>
        <v>213.27</v>
      </c>
      <c r="Y148" s="4"/>
      <c r="Z148" s="4">
        <f ca="1">('TUSD BE'!$AM$33+'TUSD BF'!$AM$33+'TUSD CVA'!$AM$33)*(1-CUSTOS!$M$38)</f>
        <v>421.14033355107131</v>
      </c>
      <c r="AA148" s="4">
        <f>('TE BE'!$AB$23+'TE BF'!$AB$23+'TE CVA'!$AB$23)*(1-CUSTOS!$M$38)</f>
        <v>179.54706321936715</v>
      </c>
      <c r="AB148" s="4">
        <f t="shared" si="10"/>
        <v>0</v>
      </c>
      <c r="AC148" s="4">
        <f>(L148-M148)*(W148+X148)+($W$2+$X$2-$W$148-$X$148)*(L148)</f>
        <v>-209.96579999999989</v>
      </c>
      <c r="AD148" s="4">
        <f t="shared" si="11"/>
        <v>0</v>
      </c>
      <c r="AE148" s="4">
        <f ca="1">(L148-M148)*(Z148+AA148)+($Z$2+$AA$2-$Z$148-$AA$148)*(L148)</f>
        <v>-122.31017844878942</v>
      </c>
      <c r="AF148" s="3" t="s">
        <v>625</v>
      </c>
    </row>
    <row r="149" spans="1:32" ht="11.25" customHeight="1" x14ac:dyDescent="0.3">
      <c r="A149" s="3" t="s">
        <v>28</v>
      </c>
      <c r="B149" s="3" t="s">
        <v>42</v>
      </c>
      <c r="C149" s="3" t="s">
        <v>23</v>
      </c>
      <c r="D149" s="3" t="s">
        <v>43</v>
      </c>
      <c r="E149" s="3" t="s">
        <v>25</v>
      </c>
      <c r="F149" s="3" t="s">
        <v>25</v>
      </c>
      <c r="G149" s="3" t="s">
        <v>25</v>
      </c>
      <c r="H149" s="3" t="s">
        <v>25</v>
      </c>
      <c r="I149" s="6">
        <v>44743</v>
      </c>
      <c r="J149" s="4">
        <v>0</v>
      </c>
      <c r="K149" s="4">
        <v>0</v>
      </c>
      <c r="L149" s="4">
        <v>9.1839999999999993</v>
      </c>
      <c r="M149" s="4">
        <v>9.1839999999999993</v>
      </c>
      <c r="N149" s="4">
        <v>9.1839999999999993</v>
      </c>
      <c r="O149" s="4">
        <v>9.1839999999999993</v>
      </c>
      <c r="P149" s="4">
        <v>25</v>
      </c>
      <c r="Q149" s="3" t="s">
        <v>26</v>
      </c>
      <c r="R149" s="3">
        <v>0</v>
      </c>
      <c r="S149" s="3">
        <v>0</v>
      </c>
      <c r="T149" s="3">
        <v>31</v>
      </c>
      <c r="U149" s="3">
        <v>69</v>
      </c>
      <c r="V149" s="4">
        <f>IF(ISERROR(VLOOKUP($S$149,'TAR FIN'!$A$1:$O$88,15,0)),0,VLOOKUP($S$149,'TAR FIN'!$A$1:$O$88,15,0))</f>
        <v>0</v>
      </c>
      <c r="W149" s="4">
        <f>IF(ISERROR(VLOOKUP($T$149,'TAR FIN'!$A$1:$O$88,15,0)),0,VLOOKUP($T$149,'TAR FIN'!$A$1:$O$88,15,0))</f>
        <v>269.45</v>
      </c>
      <c r="X149" s="4">
        <f>IF(ISERROR(VLOOKUP($U$149,'TAR FIN'!$A$1:$O$88,15,0)),0,VLOOKUP($U$149,'TAR FIN'!$A$1:$O$88,15,0))</f>
        <v>213.27</v>
      </c>
      <c r="Y149" s="4"/>
      <c r="Z149" s="4">
        <f ca="1">('TUSD BE'!$AM$33+'TUSD BF'!$AM$33+'TUSD CVA'!$AM$33)*(1-CUSTOS!$M$38)</f>
        <v>421.14033355107131</v>
      </c>
      <c r="AA149" s="4">
        <f>('TE BE'!$AB$23+'TE BF'!$AB$23+'TE CVA'!$AB$23)*(1-CUSTOS!$M$38)</f>
        <v>179.54706321936715</v>
      </c>
      <c r="AB149" s="4">
        <f t="shared" si="10"/>
        <v>0</v>
      </c>
      <c r="AC149" s="4">
        <f>(L149-M149)*(W149+X149)+($W$2+$X$2-$W$149-$X$149)*(L149)</f>
        <v>604.49087999999961</v>
      </c>
      <c r="AD149" s="4">
        <f t="shared" si="11"/>
        <v>0</v>
      </c>
      <c r="AE149" s="4">
        <f ca="1">(L149-M149)*(Z149+AA149)+($Z$2+$AA$2-$Z$149-$AA$149)*(L149)</f>
        <v>352.13062033657741</v>
      </c>
      <c r="AF149" s="3" t="s">
        <v>625</v>
      </c>
    </row>
    <row r="150" spans="1:32" ht="11.25" customHeight="1" x14ac:dyDescent="0.3">
      <c r="A150" s="3" t="s">
        <v>55</v>
      </c>
      <c r="B150" s="3" t="s">
        <v>42</v>
      </c>
      <c r="C150" s="3" t="s">
        <v>23</v>
      </c>
      <c r="D150" s="3" t="s">
        <v>43</v>
      </c>
      <c r="E150" s="3" t="s">
        <v>25</v>
      </c>
      <c r="F150" s="3" t="s">
        <v>25</v>
      </c>
      <c r="G150" s="3" t="s">
        <v>25</v>
      </c>
      <c r="H150" s="3" t="s">
        <v>25</v>
      </c>
      <c r="I150" s="6">
        <v>44774</v>
      </c>
      <c r="J150" s="4">
        <v>0</v>
      </c>
      <c r="K150" s="4">
        <v>0</v>
      </c>
      <c r="L150" s="4">
        <v>348.16500000000002</v>
      </c>
      <c r="M150" s="4">
        <v>348.16500000000002</v>
      </c>
      <c r="N150" s="4">
        <v>348.16500000000002</v>
      </c>
      <c r="O150" s="4">
        <v>348.16500000000002</v>
      </c>
      <c r="P150" s="4">
        <v>1534</v>
      </c>
      <c r="Q150" s="3" t="s">
        <v>26</v>
      </c>
      <c r="R150" s="3">
        <v>0</v>
      </c>
      <c r="S150" s="3">
        <v>0</v>
      </c>
      <c r="T150" s="3">
        <v>31</v>
      </c>
      <c r="U150" s="3">
        <v>69</v>
      </c>
      <c r="V150" s="4">
        <f>IF(ISERROR(VLOOKUP($S$150,'TAR FIN'!$A$1:$O$88,15,0)),0,VLOOKUP($S$150,'TAR FIN'!$A$1:$O$88,15,0))</f>
        <v>0</v>
      </c>
      <c r="W150" s="4">
        <f>IF(ISERROR(VLOOKUP($T$150,'TAR FIN'!$A$1:$O$88,15,0)),0,VLOOKUP($T$150,'TAR FIN'!$A$1:$O$88,15,0))</f>
        <v>269.45</v>
      </c>
      <c r="X150" s="4">
        <f>IF(ISERROR(VLOOKUP($U$150,'TAR FIN'!$A$1:$O$88,15,0)),0,VLOOKUP($U$150,'TAR FIN'!$A$1:$O$88,15,0))</f>
        <v>213.27</v>
      </c>
      <c r="Y150" s="4"/>
      <c r="Z150" s="4">
        <f ca="1">('TUSD BE'!$AM$33+'TUSD BF'!$AM$33+'TUSD CVA'!$AM$33)*(1-CUSTOS!$M$38)</f>
        <v>421.14033355107131</v>
      </c>
      <c r="AA150" s="4">
        <f>('TE BE'!$AB$23+'TE BF'!$AB$23+'TE CVA'!$AB$23)*(1-CUSTOS!$M$38)</f>
        <v>179.54706321936715</v>
      </c>
      <c r="AB150" s="4">
        <f t="shared" si="10"/>
        <v>0</v>
      </c>
      <c r="AC150" s="4">
        <f>(L150-M150)*(W150+X150)+($W$2+$X$2-$W$150-$X$150)*(L150)</f>
        <v>22916.22029999999</v>
      </c>
      <c r="AD150" s="4">
        <f t="shared" si="11"/>
        <v>0</v>
      </c>
      <c r="AE150" s="4">
        <f ca="1">(L150-M150)*(Z150+AA150)+($Z$2+$AA$2-$Z$150-$AA$150)*(L150)</f>
        <v>13349.25494659021</v>
      </c>
      <c r="AF150" s="3" t="s">
        <v>625</v>
      </c>
    </row>
    <row r="151" spans="1:32" ht="11.25" customHeight="1" x14ac:dyDescent="0.3">
      <c r="A151" s="3" t="s">
        <v>55</v>
      </c>
      <c r="B151" s="3" t="s">
        <v>42</v>
      </c>
      <c r="C151" s="3" t="s">
        <v>23</v>
      </c>
      <c r="D151" s="3" t="s">
        <v>43</v>
      </c>
      <c r="E151" s="3" t="s">
        <v>25</v>
      </c>
      <c r="F151" s="3" t="s">
        <v>25</v>
      </c>
      <c r="G151" s="3" t="s">
        <v>25</v>
      </c>
      <c r="H151" s="3" t="s">
        <v>25</v>
      </c>
      <c r="I151" s="6">
        <v>44774</v>
      </c>
      <c r="J151" s="4">
        <v>0</v>
      </c>
      <c r="K151" s="4">
        <v>0</v>
      </c>
      <c r="L151" s="4">
        <v>-3.19</v>
      </c>
      <c r="M151" s="4">
        <v>-3.19</v>
      </c>
      <c r="N151" s="4">
        <v>-3.19</v>
      </c>
      <c r="O151" s="4">
        <v>-3.19</v>
      </c>
      <c r="P151" s="4">
        <v>0</v>
      </c>
      <c r="Q151" s="3" t="s">
        <v>26</v>
      </c>
      <c r="R151" s="3">
        <v>0</v>
      </c>
      <c r="S151" s="3">
        <v>0</v>
      </c>
      <c r="T151" s="3">
        <v>31</v>
      </c>
      <c r="U151" s="3">
        <v>69</v>
      </c>
      <c r="V151" s="4">
        <f>IF(ISERROR(VLOOKUP($S$151,'TAR FIN'!$A$1:$O$88,15,0)),0,VLOOKUP($S$151,'TAR FIN'!$A$1:$O$88,15,0))</f>
        <v>0</v>
      </c>
      <c r="W151" s="4">
        <f>IF(ISERROR(VLOOKUP($T$151,'TAR FIN'!$A$1:$O$88,15,0)),0,VLOOKUP($T$151,'TAR FIN'!$A$1:$O$88,15,0))</f>
        <v>269.45</v>
      </c>
      <c r="X151" s="4">
        <f>IF(ISERROR(VLOOKUP($U$151,'TAR FIN'!$A$1:$O$88,15,0)),0,VLOOKUP($U$151,'TAR FIN'!$A$1:$O$88,15,0))</f>
        <v>213.27</v>
      </c>
      <c r="Y151" s="4"/>
      <c r="Z151" s="4">
        <f ca="1">('TUSD BE'!$AM$33+'TUSD BF'!$AM$33+'TUSD CVA'!$AM$33)*(1-CUSTOS!$M$38)</f>
        <v>421.14033355107131</v>
      </c>
      <c r="AA151" s="4">
        <f>('TE BE'!$AB$23+'TE BF'!$AB$23+'TE CVA'!$AB$23)*(1-CUSTOS!$M$38)</f>
        <v>179.54706321936715</v>
      </c>
      <c r="AB151" s="4">
        <f t="shared" si="10"/>
        <v>0</v>
      </c>
      <c r="AC151" s="4">
        <f>(L151-M151)*(W151+X151)+($W$2+$X$2-$W$151-$X$151)*(L151)</f>
        <v>-209.96579999999989</v>
      </c>
      <c r="AD151" s="4">
        <f t="shared" si="11"/>
        <v>0</v>
      </c>
      <c r="AE151" s="4">
        <f ca="1">(L151-M151)*(Z151+AA151)+($Z$2+$AA$2-$Z$151-$AA$151)*(L151)</f>
        <v>-122.31017844878942</v>
      </c>
      <c r="AF151" s="3" t="s">
        <v>625</v>
      </c>
    </row>
    <row r="152" spans="1:32" ht="11.25" customHeight="1" x14ac:dyDescent="0.3">
      <c r="A152" s="3" t="s">
        <v>55</v>
      </c>
      <c r="B152" s="3" t="s">
        <v>42</v>
      </c>
      <c r="C152" s="3" t="s">
        <v>23</v>
      </c>
      <c r="D152" s="3" t="s">
        <v>43</v>
      </c>
      <c r="E152" s="3" t="s">
        <v>25</v>
      </c>
      <c r="F152" s="3" t="s">
        <v>25</v>
      </c>
      <c r="G152" s="3" t="s">
        <v>25</v>
      </c>
      <c r="H152" s="3" t="s">
        <v>25</v>
      </c>
      <c r="I152" s="6">
        <v>44774</v>
      </c>
      <c r="J152" s="4">
        <v>0</v>
      </c>
      <c r="K152" s="4">
        <v>0</v>
      </c>
      <c r="L152" s="4">
        <v>9.1839999999999993</v>
      </c>
      <c r="M152" s="4">
        <v>9.1839999999999993</v>
      </c>
      <c r="N152" s="4">
        <v>9.1839999999999993</v>
      </c>
      <c r="O152" s="4">
        <v>9.1839999999999993</v>
      </c>
      <c r="P152" s="4">
        <v>25</v>
      </c>
      <c r="Q152" s="3" t="s">
        <v>26</v>
      </c>
      <c r="R152" s="3">
        <v>0</v>
      </c>
      <c r="S152" s="3">
        <v>0</v>
      </c>
      <c r="T152" s="3">
        <v>31</v>
      </c>
      <c r="U152" s="3">
        <v>69</v>
      </c>
      <c r="V152" s="4">
        <f>IF(ISERROR(VLOOKUP($S$152,'TAR FIN'!$A$1:$O$88,15,0)),0,VLOOKUP($S$152,'TAR FIN'!$A$1:$O$88,15,0))</f>
        <v>0</v>
      </c>
      <c r="W152" s="4">
        <f>IF(ISERROR(VLOOKUP($T$152,'TAR FIN'!$A$1:$O$88,15,0)),0,VLOOKUP($T$152,'TAR FIN'!$A$1:$O$88,15,0))</f>
        <v>269.45</v>
      </c>
      <c r="X152" s="4">
        <f>IF(ISERROR(VLOOKUP($U$152,'TAR FIN'!$A$1:$O$88,15,0)),0,VLOOKUP($U$152,'TAR FIN'!$A$1:$O$88,15,0))</f>
        <v>213.27</v>
      </c>
      <c r="Y152" s="4"/>
      <c r="Z152" s="4">
        <f ca="1">('TUSD BE'!$AM$33+'TUSD BF'!$AM$33+'TUSD CVA'!$AM$33)*(1-CUSTOS!$M$38)</f>
        <v>421.14033355107131</v>
      </c>
      <c r="AA152" s="4">
        <f>('TE BE'!$AB$23+'TE BF'!$AB$23+'TE CVA'!$AB$23)*(1-CUSTOS!$M$38)</f>
        <v>179.54706321936715</v>
      </c>
      <c r="AB152" s="4">
        <f t="shared" si="10"/>
        <v>0</v>
      </c>
      <c r="AC152" s="4">
        <f>(L152-M152)*(W152+X152)+($W$2+$X$2-$W$152-$X$152)*(L152)</f>
        <v>604.49087999999961</v>
      </c>
      <c r="AD152" s="4">
        <f t="shared" si="11"/>
        <v>0</v>
      </c>
      <c r="AE152" s="4">
        <f ca="1">(L152-M152)*(Z152+AA152)+($Z$2+$AA$2-$Z$152-$AA$152)*(L152)</f>
        <v>352.13062033657741</v>
      </c>
      <c r="AF152" s="3" t="s">
        <v>625</v>
      </c>
    </row>
    <row r="153" spans="1:32" ht="11.25" customHeight="1" x14ac:dyDescent="0.3">
      <c r="A153" s="3" t="s">
        <v>21</v>
      </c>
      <c r="B153" s="3" t="s">
        <v>33</v>
      </c>
      <c r="C153" s="3" t="s">
        <v>23</v>
      </c>
      <c r="D153" s="3" t="s">
        <v>48</v>
      </c>
      <c r="E153" s="3" t="s">
        <v>49</v>
      </c>
      <c r="F153" s="3" t="s">
        <v>25</v>
      </c>
      <c r="G153" s="3" t="s">
        <v>25</v>
      </c>
      <c r="H153" s="3" t="s">
        <v>25</v>
      </c>
      <c r="I153" s="6">
        <v>44440</v>
      </c>
      <c r="J153" s="4">
        <v>0</v>
      </c>
      <c r="K153" s="58">
        <v>0</v>
      </c>
      <c r="L153" s="4">
        <v>19.818999999999999</v>
      </c>
      <c r="M153" s="58">
        <v>19.818999999999999</v>
      </c>
      <c r="N153" s="4">
        <v>19.818999999999999</v>
      </c>
      <c r="O153" s="58">
        <v>19.818999999999999</v>
      </c>
      <c r="P153" s="4">
        <v>4</v>
      </c>
      <c r="Q153" s="3" t="s">
        <v>26</v>
      </c>
      <c r="R153" s="3">
        <v>0</v>
      </c>
      <c r="S153" s="3">
        <v>0</v>
      </c>
      <c r="T153" s="3">
        <v>46</v>
      </c>
      <c r="U153" s="3">
        <v>84</v>
      </c>
      <c r="V153" s="58">
        <f>IF(ISERROR(VLOOKUP($S$153,'TAR FIN'!$A$1:$O$88,15,0)),0,VLOOKUP($S$153,'TAR FIN'!$A$1:$O$88,15,0))</f>
        <v>0</v>
      </c>
      <c r="W153" s="58">
        <f>IF(ISERROR(VLOOKUP($T$153,'TAR FIN'!$A$1:$O$88,15,0)),0,VLOOKUP($T$153,'TAR FIN'!$A$1:$O$88,15,0))*(1-0.06)</f>
        <v>287.8186</v>
      </c>
      <c r="X153" s="58">
        <f>IF(ISERROR(VLOOKUP($U$153,'TAR FIN'!$A$1:$O$88,15,0)),0,VLOOKUP($U$153,'TAR FIN'!$A$1:$O$88,15,0))*(1-0.06)</f>
        <v>227.80899999999997</v>
      </c>
      <c r="Y153" s="58"/>
      <c r="Z153" s="58">
        <f ca="1">('TUSD BE'!$AM$48+'TUSD BF'!$AM$48+'TUSD CVA'!$AM$48)*1*(1-0.03)</f>
        <v>434.58098249419061</v>
      </c>
      <c r="AA153" s="58">
        <f>('TE BE'!$AB$38+'TE BF'!$AB$38+'TE CVA'!$AB$38)*1*(1-0.03)</f>
        <v>185.27728864126183</v>
      </c>
      <c r="AB153" s="58">
        <f>(SUBSIDIO!$J$153*SUBSIDIO!$V$153)*(0.06)/(1-0.06)</f>
        <v>0</v>
      </c>
      <c r="AC153" s="58">
        <f>((SUBSIDIO!$L$153*SUBSIDIO!$W$153)+(SUBSIDIO!$N$153*SUBSIDIO!$X$153))*(0.06)/(1-0.06)</f>
        <v>652.29085559999999</v>
      </c>
      <c r="AD153" s="58">
        <f>(SUBSIDIO!$J$153*SUBSIDIO!$Y$153)*(0.03)/(1-0.03)</f>
        <v>0</v>
      </c>
      <c r="AE153" s="58">
        <f ca="1">((SUBSIDIO!$L$153*SUBSIDIO!$Z$153)+(SUBSIDIO!$N$153*SUBSIDIO!$AA$153))*(0.03)/(1-0.03)</f>
        <v>379.94755904021235</v>
      </c>
      <c r="AF153" s="3" t="s">
        <v>627</v>
      </c>
    </row>
    <row r="154" spans="1:32" ht="11.25" customHeight="1" x14ac:dyDescent="0.3">
      <c r="A154" s="3" t="s">
        <v>21</v>
      </c>
      <c r="B154" s="3" t="s">
        <v>33</v>
      </c>
      <c r="C154" s="3" t="s">
        <v>23</v>
      </c>
      <c r="D154" s="3" t="s">
        <v>48</v>
      </c>
      <c r="E154" s="3" t="s">
        <v>49</v>
      </c>
      <c r="F154" s="3" t="s">
        <v>25</v>
      </c>
      <c r="G154" s="3" t="s">
        <v>25</v>
      </c>
      <c r="H154" s="3" t="s">
        <v>25</v>
      </c>
      <c r="I154" s="6">
        <v>44470</v>
      </c>
      <c r="J154" s="4">
        <v>0</v>
      </c>
      <c r="K154" s="58">
        <v>0</v>
      </c>
      <c r="L154" s="4">
        <v>22.408999999999999</v>
      </c>
      <c r="M154" s="58">
        <v>22.408999999999999</v>
      </c>
      <c r="N154" s="4">
        <v>22.408999999999999</v>
      </c>
      <c r="O154" s="58">
        <v>22.408999999999999</v>
      </c>
      <c r="P154" s="4">
        <v>4</v>
      </c>
      <c r="Q154" s="3" t="s">
        <v>26</v>
      </c>
      <c r="R154" s="3">
        <v>0</v>
      </c>
      <c r="S154" s="3">
        <v>0</v>
      </c>
      <c r="T154" s="3">
        <v>46</v>
      </c>
      <c r="U154" s="3">
        <v>84</v>
      </c>
      <c r="V154" s="58">
        <f>IF(ISERROR(VLOOKUP($S$154,'TAR FIN'!$A$1:$O$88,15,0)),0,VLOOKUP($S$154,'TAR FIN'!$A$1:$O$88,15,0))</f>
        <v>0</v>
      </c>
      <c r="W154" s="58">
        <f>IF(ISERROR(VLOOKUP($T$154,'TAR FIN'!$A$1:$O$88,15,0)),0,VLOOKUP($T$154,'TAR FIN'!$A$1:$O$88,15,0))*(1-0.06)</f>
        <v>287.8186</v>
      </c>
      <c r="X154" s="58">
        <f>IF(ISERROR(VLOOKUP($U$154,'TAR FIN'!$A$1:$O$88,15,0)),0,VLOOKUP($U$154,'TAR FIN'!$A$1:$O$88,15,0))*(1-0.06)</f>
        <v>227.80899999999997</v>
      </c>
      <c r="Y154" s="58"/>
      <c r="Z154" s="58">
        <f ca="1">('TUSD BE'!$AM$48+'TUSD BF'!$AM$48+'TUSD CVA'!$AM$48)*1*(1-0.03)</f>
        <v>434.58098249419061</v>
      </c>
      <c r="AA154" s="58">
        <f>('TE BE'!$AB$38+'TE BF'!$AB$38+'TE CVA'!$AB$38)*1*(1-0.03)</f>
        <v>185.27728864126183</v>
      </c>
      <c r="AB154" s="58">
        <f>(SUBSIDIO!$J$154*SUBSIDIO!$V$154)*(0.06)/(1-0.06)</f>
        <v>0</v>
      </c>
      <c r="AC154" s="58">
        <f>((SUBSIDIO!$L$154*SUBSIDIO!$W$154)+(SUBSIDIO!$N$154*SUBSIDIO!$X$154))*(0.06)/(1-0.06)</f>
        <v>737.53397159999986</v>
      </c>
      <c r="AD154" s="58">
        <f>(SUBSIDIO!$J$154*SUBSIDIO!$Y$154)*(0.03)/(1-0.03)</f>
        <v>0</v>
      </c>
      <c r="AE154" s="58">
        <f ca="1">((SUBSIDIO!$L$154*SUBSIDIO!$Z$154)+(SUBSIDIO!$N$154*SUBSIDIO!$AA$154))*(0.03)/(1-0.03)</f>
        <v>429.60012364559856</v>
      </c>
      <c r="AF154" s="3" t="s">
        <v>627</v>
      </c>
    </row>
    <row r="155" spans="1:32" ht="11.25" customHeight="1" x14ac:dyDescent="0.3">
      <c r="A155" s="3" t="s">
        <v>21</v>
      </c>
      <c r="B155" s="3" t="s">
        <v>33</v>
      </c>
      <c r="C155" s="3" t="s">
        <v>23</v>
      </c>
      <c r="D155" s="3" t="s">
        <v>48</v>
      </c>
      <c r="E155" s="3" t="s">
        <v>49</v>
      </c>
      <c r="F155" s="3" t="s">
        <v>25</v>
      </c>
      <c r="G155" s="3" t="s">
        <v>25</v>
      </c>
      <c r="H155" s="3" t="s">
        <v>25</v>
      </c>
      <c r="I155" s="6">
        <v>44501</v>
      </c>
      <c r="J155" s="4">
        <v>0</v>
      </c>
      <c r="K155" s="58">
        <v>0</v>
      </c>
      <c r="L155" s="4">
        <v>20.324000000000002</v>
      </c>
      <c r="M155" s="58">
        <v>20.324000000000002</v>
      </c>
      <c r="N155" s="4">
        <v>20.324000000000002</v>
      </c>
      <c r="O155" s="58">
        <v>20.324000000000002</v>
      </c>
      <c r="P155" s="4">
        <v>4</v>
      </c>
      <c r="Q155" s="3" t="s">
        <v>26</v>
      </c>
      <c r="R155" s="3">
        <v>0</v>
      </c>
      <c r="S155" s="3">
        <v>0</v>
      </c>
      <c r="T155" s="3">
        <v>46</v>
      </c>
      <c r="U155" s="3">
        <v>84</v>
      </c>
      <c r="V155" s="58">
        <f>IF(ISERROR(VLOOKUP($S$155,'TAR FIN'!$A$1:$O$88,15,0)),0,VLOOKUP($S$155,'TAR FIN'!$A$1:$O$88,15,0))</f>
        <v>0</v>
      </c>
      <c r="W155" s="58">
        <f>IF(ISERROR(VLOOKUP($T$155,'TAR FIN'!$A$1:$O$88,15,0)),0,VLOOKUP($T$155,'TAR FIN'!$A$1:$O$88,15,0))*(1-0.06)</f>
        <v>287.8186</v>
      </c>
      <c r="X155" s="58">
        <f>IF(ISERROR(VLOOKUP($U$155,'TAR FIN'!$A$1:$O$88,15,0)),0,VLOOKUP($U$155,'TAR FIN'!$A$1:$O$88,15,0))*(1-0.06)</f>
        <v>227.80899999999997</v>
      </c>
      <c r="Y155" s="58"/>
      <c r="Z155" s="58">
        <f ca="1">('TUSD BE'!$AM$48+'TUSD BF'!$AM$48+'TUSD CVA'!$AM$48)*1*(1-0.03)</f>
        <v>434.58098249419061</v>
      </c>
      <c r="AA155" s="58">
        <f>('TE BE'!$AB$38+'TE BF'!$AB$38+'TE CVA'!$AB$38)*1*(1-0.03)</f>
        <v>185.27728864126183</v>
      </c>
      <c r="AB155" s="58">
        <f>(SUBSIDIO!$J$155*SUBSIDIO!$V$155)*(0.06)/(1-0.06)</f>
        <v>0</v>
      </c>
      <c r="AC155" s="58">
        <f>((SUBSIDIO!$L$155*SUBSIDIO!$W$155)+(SUBSIDIO!$N$155*SUBSIDIO!$X$155))*(0.06)/(1-0.06)</f>
        <v>668.9116176</v>
      </c>
      <c r="AD155" s="58">
        <f>(SUBSIDIO!$J$155*SUBSIDIO!$Y$155)*(0.03)/(1-0.03)</f>
        <v>0</v>
      </c>
      <c r="AE155" s="58">
        <f ca="1">((SUBSIDIO!$L$155*SUBSIDIO!$Z$155)+(SUBSIDIO!$N$155*SUBSIDIO!$AA$155))*(0.03)/(1-0.03)</f>
        <v>389.62885059454436</v>
      </c>
      <c r="AF155" s="3" t="s">
        <v>627</v>
      </c>
    </row>
    <row r="156" spans="1:32" ht="11.25" customHeight="1" x14ac:dyDescent="0.3">
      <c r="A156" s="3" t="s">
        <v>21</v>
      </c>
      <c r="B156" s="3" t="s">
        <v>33</v>
      </c>
      <c r="C156" s="3" t="s">
        <v>23</v>
      </c>
      <c r="D156" s="3" t="s">
        <v>48</v>
      </c>
      <c r="E156" s="3" t="s">
        <v>49</v>
      </c>
      <c r="F156" s="3" t="s">
        <v>25</v>
      </c>
      <c r="G156" s="3" t="s">
        <v>25</v>
      </c>
      <c r="H156" s="3" t="s">
        <v>25</v>
      </c>
      <c r="I156" s="6">
        <v>44531</v>
      </c>
      <c r="J156" s="4">
        <v>0</v>
      </c>
      <c r="K156" s="58">
        <v>0</v>
      </c>
      <c r="L156" s="4">
        <v>22.574000000000002</v>
      </c>
      <c r="M156" s="58">
        <v>22.574000000000002</v>
      </c>
      <c r="N156" s="4">
        <v>22.574000000000002</v>
      </c>
      <c r="O156" s="58">
        <v>22.574000000000002</v>
      </c>
      <c r="P156" s="4">
        <v>4</v>
      </c>
      <c r="Q156" s="3" t="s">
        <v>26</v>
      </c>
      <c r="R156" s="3">
        <v>0</v>
      </c>
      <c r="S156" s="3">
        <v>0</v>
      </c>
      <c r="T156" s="3">
        <v>46</v>
      </c>
      <c r="U156" s="3">
        <v>84</v>
      </c>
      <c r="V156" s="58">
        <f>IF(ISERROR(VLOOKUP($S$156,'TAR FIN'!$A$1:$O$88,15,0)),0,VLOOKUP($S$156,'TAR FIN'!$A$1:$O$88,15,0))</f>
        <v>0</v>
      </c>
      <c r="W156" s="58">
        <f>IF(ISERROR(VLOOKUP($T$156,'TAR FIN'!$A$1:$O$88,15,0)),0,VLOOKUP($T$156,'TAR FIN'!$A$1:$O$88,15,0))*(1-0.06)</f>
        <v>287.8186</v>
      </c>
      <c r="X156" s="58">
        <f>IF(ISERROR(VLOOKUP($U$156,'TAR FIN'!$A$1:$O$88,15,0)),0,VLOOKUP($U$156,'TAR FIN'!$A$1:$O$88,15,0))*(1-0.06)</f>
        <v>227.80899999999997</v>
      </c>
      <c r="Y156" s="58"/>
      <c r="Z156" s="58">
        <f ca="1">('TUSD BE'!$AM$48+'TUSD BF'!$AM$48+'TUSD CVA'!$AM$48)*1*(1-0.03)</f>
        <v>434.58098249419061</v>
      </c>
      <c r="AA156" s="58">
        <f>('TE BE'!$AB$38+'TE BF'!$AB$38+'TE CVA'!$AB$38)*1*(1-0.03)</f>
        <v>185.27728864126183</v>
      </c>
      <c r="AB156" s="58">
        <f>(SUBSIDIO!$J$156*SUBSIDIO!$V$156)*(0.06)/(1-0.06)</f>
        <v>0</v>
      </c>
      <c r="AC156" s="58">
        <f>((SUBSIDIO!$L$156*SUBSIDIO!$W$156)+(SUBSIDIO!$N$156*SUBSIDIO!$X$156))*(0.06)/(1-0.06)</f>
        <v>742.96451760000002</v>
      </c>
      <c r="AD156" s="58">
        <f>(SUBSIDIO!$J$156*SUBSIDIO!$Y$156)*(0.03)/(1-0.03)</f>
        <v>0</v>
      </c>
      <c r="AE156" s="58">
        <f ca="1">((SUBSIDIO!$L$156*SUBSIDIO!$Z$156)+(SUBSIDIO!$N$156*SUBSIDIO!$AA$156))*(0.03)/(1-0.03)</f>
        <v>432.76331791582589</v>
      </c>
      <c r="AF156" s="3" t="s">
        <v>627</v>
      </c>
    </row>
    <row r="157" spans="1:32" ht="11.25" customHeight="1" x14ac:dyDescent="0.3">
      <c r="A157" s="3" t="s">
        <v>21</v>
      </c>
      <c r="B157" s="3" t="s">
        <v>33</v>
      </c>
      <c r="C157" s="3" t="s">
        <v>23</v>
      </c>
      <c r="D157" s="3" t="s">
        <v>48</v>
      </c>
      <c r="E157" s="3" t="s">
        <v>49</v>
      </c>
      <c r="F157" s="3" t="s">
        <v>25</v>
      </c>
      <c r="G157" s="3" t="s">
        <v>25</v>
      </c>
      <c r="H157" s="3" t="s">
        <v>25</v>
      </c>
      <c r="I157" s="6">
        <v>44562</v>
      </c>
      <c r="J157" s="4">
        <v>0</v>
      </c>
      <c r="K157" s="58">
        <v>0</v>
      </c>
      <c r="L157" s="4">
        <v>17.370999999999999</v>
      </c>
      <c r="M157" s="58">
        <v>17.370999999999999</v>
      </c>
      <c r="N157" s="4">
        <v>17.370999999999999</v>
      </c>
      <c r="O157" s="58">
        <v>17.370999999999999</v>
      </c>
      <c r="P157" s="4">
        <v>4</v>
      </c>
      <c r="Q157" s="3" t="s">
        <v>26</v>
      </c>
      <c r="R157" s="3">
        <v>0</v>
      </c>
      <c r="S157" s="3">
        <v>0</v>
      </c>
      <c r="T157" s="3">
        <v>46</v>
      </c>
      <c r="U157" s="3">
        <v>84</v>
      </c>
      <c r="V157" s="58">
        <f>IF(ISERROR(VLOOKUP($S$157,'TAR FIN'!$A$1:$O$88,15,0)),0,VLOOKUP($S$157,'TAR FIN'!$A$1:$O$88,15,0))</f>
        <v>0</v>
      </c>
      <c r="W157" s="58">
        <f>IF(ISERROR(VLOOKUP($T$157,'TAR FIN'!$A$1:$O$88,15,0)),0,VLOOKUP($T$157,'TAR FIN'!$A$1:$O$88,15,0))*(1-0.06)</f>
        <v>287.8186</v>
      </c>
      <c r="X157" s="58">
        <f>IF(ISERROR(VLOOKUP($U$157,'TAR FIN'!$A$1:$O$88,15,0)),0,VLOOKUP($U$157,'TAR FIN'!$A$1:$O$88,15,0))*(1-0.06)</f>
        <v>227.80899999999997</v>
      </c>
      <c r="Y157" s="58"/>
      <c r="Z157" s="58">
        <f ca="1">('TUSD BE'!$AM$48+'TUSD BF'!$AM$48+'TUSD CVA'!$AM$48)*1*(1-0.03)</f>
        <v>434.58098249419061</v>
      </c>
      <c r="AA157" s="58">
        <f>('TE BE'!$AB$38+'TE BF'!$AB$38+'TE CVA'!$AB$38)*1*(1-0.03)</f>
        <v>185.27728864126183</v>
      </c>
      <c r="AB157" s="58">
        <f>(SUBSIDIO!$J$157*SUBSIDIO!$V$157)*(0.06)/(1-0.06)</f>
        <v>0</v>
      </c>
      <c r="AC157" s="58">
        <f>((SUBSIDIO!$L$157*SUBSIDIO!$W$157)+(SUBSIDIO!$N$157*SUBSIDIO!$X$157))*(0.06)/(1-0.06)</f>
        <v>571.72130040000002</v>
      </c>
      <c r="AD157" s="58">
        <f>(SUBSIDIO!$J$157*SUBSIDIO!$Y$157)*(0.03)/(1-0.03)</f>
        <v>0</v>
      </c>
      <c r="AE157" s="58">
        <f ca="1">((SUBSIDIO!$L$157*SUBSIDIO!$Z$157)+(SUBSIDIO!$N$157*SUBSIDIO!$AA$157))*(0.03)/(1-0.03)</f>
        <v>333.01725859465807</v>
      </c>
      <c r="AF157" s="3" t="s">
        <v>627</v>
      </c>
    </row>
    <row r="158" spans="1:32" ht="11.25" customHeight="1" x14ac:dyDescent="0.3">
      <c r="A158" s="3" t="s">
        <v>21</v>
      </c>
      <c r="B158" s="3" t="s">
        <v>33</v>
      </c>
      <c r="C158" s="3" t="s">
        <v>23</v>
      </c>
      <c r="D158" s="3" t="s">
        <v>48</v>
      </c>
      <c r="E158" s="3" t="s">
        <v>49</v>
      </c>
      <c r="F158" s="3" t="s">
        <v>25</v>
      </c>
      <c r="G158" s="3" t="s">
        <v>25</v>
      </c>
      <c r="H158" s="3" t="s">
        <v>25</v>
      </c>
      <c r="I158" s="6">
        <v>44593</v>
      </c>
      <c r="J158" s="4">
        <v>0</v>
      </c>
      <c r="K158" s="58">
        <v>0</v>
      </c>
      <c r="L158" s="4">
        <v>20.225000000000001</v>
      </c>
      <c r="M158" s="58">
        <v>20.225000000000001</v>
      </c>
      <c r="N158" s="4">
        <v>20.225000000000001</v>
      </c>
      <c r="O158" s="58">
        <v>20.225000000000001</v>
      </c>
      <c r="P158" s="4">
        <v>4</v>
      </c>
      <c r="Q158" s="3" t="s">
        <v>26</v>
      </c>
      <c r="R158" s="3">
        <v>0</v>
      </c>
      <c r="S158" s="3">
        <v>0</v>
      </c>
      <c r="T158" s="3">
        <v>46</v>
      </c>
      <c r="U158" s="3">
        <v>84</v>
      </c>
      <c r="V158" s="58">
        <f>IF(ISERROR(VLOOKUP($S$158,'TAR FIN'!$A$1:$O$88,15,0)),0,VLOOKUP($S$158,'TAR FIN'!$A$1:$O$88,15,0))</f>
        <v>0</v>
      </c>
      <c r="W158" s="58">
        <f>IF(ISERROR(VLOOKUP($T$158,'TAR FIN'!$A$1:$O$88,15,0)),0,VLOOKUP($T$158,'TAR FIN'!$A$1:$O$88,15,0))*(1-0.06)</f>
        <v>287.8186</v>
      </c>
      <c r="X158" s="58">
        <f>IF(ISERROR(VLOOKUP($U$158,'TAR FIN'!$A$1:$O$88,15,0)),0,VLOOKUP($U$158,'TAR FIN'!$A$1:$O$88,15,0))*(1-0.06)</f>
        <v>227.80899999999997</v>
      </c>
      <c r="Y158" s="58"/>
      <c r="Z158" s="58">
        <f ca="1">('TUSD BE'!$AM$48+'TUSD BF'!$AM$48+'TUSD CVA'!$AM$48)*1*(1-0.03)</f>
        <v>434.58098249419061</v>
      </c>
      <c r="AA158" s="58">
        <f>('TE BE'!$AB$38+'TE BF'!$AB$38+'TE CVA'!$AB$38)*1*(1-0.03)</f>
        <v>185.27728864126183</v>
      </c>
      <c r="AB158" s="58">
        <f>(SUBSIDIO!$J$158*SUBSIDIO!$V$158)*(0.06)/(1-0.06)</f>
        <v>0</v>
      </c>
      <c r="AC158" s="58">
        <f>((SUBSIDIO!$L$158*SUBSIDIO!$W$158)+(SUBSIDIO!$N$158*SUBSIDIO!$X$158))*(0.06)/(1-0.06)</f>
        <v>665.65328999999997</v>
      </c>
      <c r="AD158" s="58">
        <f>(SUBSIDIO!$J$158*SUBSIDIO!$Y$158)*(0.03)/(1-0.03)</f>
        <v>0</v>
      </c>
      <c r="AE158" s="58">
        <f ca="1">((SUBSIDIO!$L$158*SUBSIDIO!$Z$158)+(SUBSIDIO!$N$158*SUBSIDIO!$AA$158))*(0.03)/(1-0.03)</f>
        <v>387.73093403240802</v>
      </c>
      <c r="AF158" s="3" t="s">
        <v>627</v>
      </c>
    </row>
    <row r="159" spans="1:32" ht="11.25" customHeight="1" x14ac:dyDescent="0.3">
      <c r="A159" s="3" t="s">
        <v>21</v>
      </c>
      <c r="B159" s="3" t="s">
        <v>33</v>
      </c>
      <c r="C159" s="3" t="s">
        <v>23</v>
      </c>
      <c r="D159" s="3" t="s">
        <v>48</v>
      </c>
      <c r="E159" s="3" t="s">
        <v>49</v>
      </c>
      <c r="F159" s="3" t="s">
        <v>25</v>
      </c>
      <c r="G159" s="3" t="s">
        <v>25</v>
      </c>
      <c r="H159" s="3" t="s">
        <v>25</v>
      </c>
      <c r="I159" s="6">
        <v>44621</v>
      </c>
      <c r="J159" s="4">
        <v>0</v>
      </c>
      <c r="K159" s="58">
        <v>0</v>
      </c>
      <c r="L159" s="4">
        <v>17.375</v>
      </c>
      <c r="M159" s="58">
        <v>17.375</v>
      </c>
      <c r="N159" s="4">
        <v>17.375</v>
      </c>
      <c r="O159" s="58">
        <v>17.375</v>
      </c>
      <c r="P159" s="4">
        <v>4</v>
      </c>
      <c r="Q159" s="3" t="s">
        <v>26</v>
      </c>
      <c r="R159" s="3">
        <v>0</v>
      </c>
      <c r="S159" s="3">
        <v>0</v>
      </c>
      <c r="T159" s="3">
        <v>46</v>
      </c>
      <c r="U159" s="3">
        <v>84</v>
      </c>
      <c r="V159" s="58">
        <f>IF(ISERROR(VLOOKUP($S$159,'TAR FIN'!$A$1:$O$88,15,0)),0,VLOOKUP($S$159,'TAR FIN'!$A$1:$O$88,15,0))</f>
        <v>0</v>
      </c>
      <c r="W159" s="58">
        <f>IF(ISERROR(VLOOKUP($T$159,'TAR FIN'!$A$1:$O$88,15,0)),0,VLOOKUP($T$159,'TAR FIN'!$A$1:$O$88,15,0))*(1-0.06)</f>
        <v>287.8186</v>
      </c>
      <c r="X159" s="58">
        <f>IF(ISERROR(VLOOKUP($U$159,'TAR FIN'!$A$1:$O$88,15,0)),0,VLOOKUP($U$159,'TAR FIN'!$A$1:$O$88,15,0))*(1-0.06)</f>
        <v>227.80899999999997</v>
      </c>
      <c r="Y159" s="58"/>
      <c r="Z159" s="58">
        <f ca="1">('TUSD BE'!$AM$48+'TUSD BF'!$AM$48+'TUSD CVA'!$AM$48)*1*(1-0.03)</f>
        <v>434.58098249419061</v>
      </c>
      <c r="AA159" s="58">
        <f>('TE BE'!$AB$38+'TE BF'!$AB$38+'TE CVA'!$AB$38)*1*(1-0.03)</f>
        <v>185.27728864126183</v>
      </c>
      <c r="AB159" s="58">
        <f>(SUBSIDIO!$J$159*SUBSIDIO!$V$159)*(0.06)/(1-0.06)</f>
        <v>0</v>
      </c>
      <c r="AC159" s="58">
        <f>((SUBSIDIO!$L$159*SUBSIDIO!$W$159)+(SUBSIDIO!$N$159*SUBSIDIO!$X$159))*(0.06)/(1-0.06)</f>
        <v>571.85294999999996</v>
      </c>
      <c r="AD159" s="58">
        <f>(SUBSIDIO!$J$159*SUBSIDIO!$Y$159)*(0.03)/(1-0.03)</f>
        <v>0</v>
      </c>
      <c r="AE159" s="58">
        <f ca="1">((SUBSIDIO!$L$159*SUBSIDIO!$Z$159)+(SUBSIDIO!$N$159*SUBSIDIO!$AA$159))*(0.03)/(1-0.03)</f>
        <v>333.09394209211808</v>
      </c>
      <c r="AF159" s="3" t="s">
        <v>627</v>
      </c>
    </row>
    <row r="160" spans="1:32" ht="11.25" customHeight="1" x14ac:dyDescent="0.3">
      <c r="A160" s="3" t="s">
        <v>21</v>
      </c>
      <c r="B160" s="3" t="s">
        <v>33</v>
      </c>
      <c r="C160" s="3" t="s">
        <v>23</v>
      </c>
      <c r="D160" s="3" t="s">
        <v>48</v>
      </c>
      <c r="E160" s="3" t="s">
        <v>49</v>
      </c>
      <c r="F160" s="3" t="s">
        <v>25</v>
      </c>
      <c r="G160" s="3" t="s">
        <v>25</v>
      </c>
      <c r="H160" s="3" t="s">
        <v>25</v>
      </c>
      <c r="I160" s="6">
        <v>44652</v>
      </c>
      <c r="J160" s="4">
        <v>0</v>
      </c>
      <c r="K160" s="58">
        <v>0</v>
      </c>
      <c r="L160" s="4">
        <v>19.263999999999999</v>
      </c>
      <c r="M160" s="58">
        <v>19.263999999999999</v>
      </c>
      <c r="N160" s="4">
        <v>19.263999999999999</v>
      </c>
      <c r="O160" s="58">
        <v>19.263999999999999</v>
      </c>
      <c r="P160" s="4">
        <v>4</v>
      </c>
      <c r="Q160" s="3" t="s">
        <v>26</v>
      </c>
      <c r="R160" s="3">
        <v>0</v>
      </c>
      <c r="S160" s="3">
        <v>0</v>
      </c>
      <c r="T160" s="3">
        <v>46</v>
      </c>
      <c r="U160" s="3">
        <v>84</v>
      </c>
      <c r="V160" s="58">
        <f>IF(ISERROR(VLOOKUP($S$160,'TAR FIN'!$A$1:$O$88,15,0)),0,VLOOKUP($S$160,'TAR FIN'!$A$1:$O$88,15,0))</f>
        <v>0</v>
      </c>
      <c r="W160" s="58">
        <f>IF(ISERROR(VLOOKUP($T$160,'TAR FIN'!$A$1:$O$88,15,0)),0,VLOOKUP($T$160,'TAR FIN'!$A$1:$O$88,15,0))*(1-0.06)</f>
        <v>287.8186</v>
      </c>
      <c r="X160" s="58">
        <f>IF(ISERROR(VLOOKUP($U$160,'TAR FIN'!$A$1:$O$88,15,0)),0,VLOOKUP($U$160,'TAR FIN'!$A$1:$O$88,15,0))*(1-0.06)</f>
        <v>227.80899999999997</v>
      </c>
      <c r="Y160" s="58"/>
      <c r="Z160" s="58">
        <f ca="1">('TUSD BE'!$AM$48+'TUSD BF'!$AM$48+'TUSD CVA'!$AM$48)*1*(1-0.03)</f>
        <v>434.58098249419061</v>
      </c>
      <c r="AA160" s="58">
        <f>('TE BE'!$AB$38+'TE BF'!$AB$38+'TE CVA'!$AB$38)*1*(1-0.03)</f>
        <v>185.27728864126183</v>
      </c>
      <c r="AB160" s="58">
        <f>(SUBSIDIO!$J$160*SUBSIDIO!$V$160)*(0.06)/(1-0.06)</f>
        <v>0</v>
      </c>
      <c r="AC160" s="58">
        <f>((SUBSIDIO!$L$160*SUBSIDIO!$W$160)+(SUBSIDIO!$N$160*SUBSIDIO!$X$160))*(0.06)/(1-0.06)</f>
        <v>634.02447359999996</v>
      </c>
      <c r="AD160" s="58">
        <f>(SUBSIDIO!$J$160*SUBSIDIO!$Y$160)*(0.03)/(1-0.03)</f>
        <v>0</v>
      </c>
      <c r="AE160" s="58">
        <f ca="1">((SUBSIDIO!$L$160*SUBSIDIO!$Z$160)+(SUBSIDIO!$N$160*SUBSIDIO!$AA$160))*(0.03)/(1-0.03)</f>
        <v>369.30772376762957</v>
      </c>
      <c r="AF160" s="3" t="s">
        <v>627</v>
      </c>
    </row>
    <row r="161" spans="1:32" ht="11.25" customHeight="1" x14ac:dyDescent="0.3">
      <c r="A161" s="3" t="s">
        <v>21</v>
      </c>
      <c r="B161" s="3" t="s">
        <v>33</v>
      </c>
      <c r="C161" s="3" t="s">
        <v>23</v>
      </c>
      <c r="D161" s="3" t="s">
        <v>48</v>
      </c>
      <c r="E161" s="3" t="s">
        <v>49</v>
      </c>
      <c r="F161" s="3" t="s">
        <v>25</v>
      </c>
      <c r="G161" s="3" t="s">
        <v>25</v>
      </c>
      <c r="H161" s="3" t="s">
        <v>25</v>
      </c>
      <c r="I161" s="6">
        <v>44682</v>
      </c>
      <c r="J161" s="4">
        <v>0</v>
      </c>
      <c r="K161" s="58">
        <v>0</v>
      </c>
      <c r="L161" s="4">
        <v>18.681999999999999</v>
      </c>
      <c r="M161" s="58">
        <v>18.681999999999999</v>
      </c>
      <c r="N161" s="4">
        <v>18.681999999999999</v>
      </c>
      <c r="O161" s="58">
        <v>18.681999999999999</v>
      </c>
      <c r="P161" s="4">
        <v>4</v>
      </c>
      <c r="Q161" s="3" t="s">
        <v>26</v>
      </c>
      <c r="R161" s="3">
        <v>0</v>
      </c>
      <c r="S161" s="3">
        <v>0</v>
      </c>
      <c r="T161" s="3">
        <v>46</v>
      </c>
      <c r="U161" s="3">
        <v>84</v>
      </c>
      <c r="V161" s="58">
        <f>IF(ISERROR(VLOOKUP($S$161,'TAR FIN'!$A$1:$O$88,15,0)),0,VLOOKUP($S$161,'TAR FIN'!$A$1:$O$88,15,0))</f>
        <v>0</v>
      </c>
      <c r="W161" s="58">
        <f>IF(ISERROR(VLOOKUP($T$161,'TAR FIN'!$A$1:$O$88,15,0)),0,VLOOKUP($T$161,'TAR FIN'!$A$1:$O$88,15,0))*(1-0.06)</f>
        <v>287.8186</v>
      </c>
      <c r="X161" s="58">
        <f>IF(ISERROR(VLOOKUP($U$161,'TAR FIN'!$A$1:$O$88,15,0)),0,VLOOKUP($U$161,'TAR FIN'!$A$1:$O$88,15,0))*(1-0.06)</f>
        <v>227.80899999999997</v>
      </c>
      <c r="Y161" s="58"/>
      <c r="Z161" s="58">
        <f ca="1">('TUSD BE'!$AM$48+'TUSD BF'!$AM$48+'TUSD CVA'!$AM$48)*1*(1-0.03)</f>
        <v>434.58098249419061</v>
      </c>
      <c r="AA161" s="58">
        <f>('TE BE'!$AB$38+'TE BF'!$AB$38+'TE CVA'!$AB$38)*1*(1-0.03)</f>
        <v>185.27728864126183</v>
      </c>
      <c r="AB161" s="58">
        <f>(SUBSIDIO!$J$161*SUBSIDIO!$V$161)*(0.06)/(1-0.06)</f>
        <v>0</v>
      </c>
      <c r="AC161" s="58">
        <f>((SUBSIDIO!$L$161*SUBSIDIO!$W$161)+(SUBSIDIO!$N$161*SUBSIDIO!$X$161))*(0.06)/(1-0.06)</f>
        <v>614.86945679999985</v>
      </c>
      <c r="AD161" s="58">
        <f>(SUBSIDIO!$J$161*SUBSIDIO!$Y$161)*(0.03)/(1-0.03)</f>
        <v>0</v>
      </c>
      <c r="AE161" s="58">
        <f ca="1">((SUBSIDIO!$L$161*SUBSIDIO!$Z$161)+(SUBSIDIO!$N$161*SUBSIDIO!$AA$161))*(0.03)/(1-0.03)</f>
        <v>358.15027488719136</v>
      </c>
      <c r="AF161" s="3" t="s">
        <v>627</v>
      </c>
    </row>
    <row r="162" spans="1:32" ht="11.25" customHeight="1" x14ac:dyDescent="0.3">
      <c r="A162" s="3" t="s">
        <v>21</v>
      </c>
      <c r="B162" s="3" t="s">
        <v>33</v>
      </c>
      <c r="C162" s="3" t="s">
        <v>23</v>
      </c>
      <c r="D162" s="3" t="s">
        <v>48</v>
      </c>
      <c r="E162" s="3" t="s">
        <v>49</v>
      </c>
      <c r="F162" s="3" t="s">
        <v>25</v>
      </c>
      <c r="G162" s="3" t="s">
        <v>25</v>
      </c>
      <c r="H162" s="3" t="s">
        <v>25</v>
      </c>
      <c r="I162" s="6">
        <v>44713</v>
      </c>
      <c r="J162" s="4">
        <v>0</v>
      </c>
      <c r="K162" s="58">
        <v>0</v>
      </c>
      <c r="L162" s="4">
        <v>20.315000000000001</v>
      </c>
      <c r="M162" s="58">
        <v>20.315000000000001</v>
      </c>
      <c r="N162" s="4">
        <v>20.315000000000001</v>
      </c>
      <c r="O162" s="58">
        <v>20.315000000000001</v>
      </c>
      <c r="P162" s="4">
        <v>4</v>
      </c>
      <c r="Q162" s="3" t="s">
        <v>26</v>
      </c>
      <c r="R162" s="3">
        <v>0</v>
      </c>
      <c r="S162" s="3">
        <v>0</v>
      </c>
      <c r="T162" s="3">
        <v>46</v>
      </c>
      <c r="U162" s="3">
        <v>84</v>
      </c>
      <c r="V162" s="58">
        <f>IF(ISERROR(VLOOKUP($S$162,'TAR FIN'!$A$1:$O$88,15,0)),0,VLOOKUP($S$162,'TAR FIN'!$A$1:$O$88,15,0))</f>
        <v>0</v>
      </c>
      <c r="W162" s="58">
        <f>IF(ISERROR(VLOOKUP($T$162,'TAR FIN'!$A$1:$O$88,15,0)),0,VLOOKUP($T$162,'TAR FIN'!$A$1:$O$88,15,0))*(1-0.06)</f>
        <v>287.8186</v>
      </c>
      <c r="X162" s="58">
        <f>IF(ISERROR(VLOOKUP($U$162,'TAR FIN'!$A$1:$O$88,15,0)),0,VLOOKUP($U$162,'TAR FIN'!$A$1:$O$88,15,0))*(1-0.06)</f>
        <v>227.80899999999997</v>
      </c>
      <c r="Y162" s="58"/>
      <c r="Z162" s="58">
        <f ca="1">('TUSD BE'!$AM$48+'TUSD BF'!$AM$48+'TUSD CVA'!$AM$48)*1*(1-0.03)</f>
        <v>434.58098249419061</v>
      </c>
      <c r="AA162" s="58">
        <f>('TE BE'!$AB$38+'TE BF'!$AB$38+'TE CVA'!$AB$38)*1*(1-0.03)</f>
        <v>185.27728864126183</v>
      </c>
      <c r="AB162" s="58">
        <f>(SUBSIDIO!$J$162*SUBSIDIO!$V$162)*(0.06)/(1-0.06)</f>
        <v>0</v>
      </c>
      <c r="AC162" s="58">
        <f>((SUBSIDIO!$L$162*SUBSIDIO!$W$162)+(SUBSIDIO!$N$162*SUBSIDIO!$X$162))*(0.06)/(1-0.06)</f>
        <v>668.61540600000001</v>
      </c>
      <c r="AD162" s="58">
        <f>(SUBSIDIO!$J$162*SUBSIDIO!$Y$162)*(0.03)/(1-0.03)</f>
        <v>0</v>
      </c>
      <c r="AE162" s="58">
        <f ca="1">((SUBSIDIO!$L$162*SUBSIDIO!$Z$162)+(SUBSIDIO!$N$162*SUBSIDIO!$AA$162))*(0.03)/(1-0.03)</f>
        <v>389.45631272525929</v>
      </c>
      <c r="AF162" s="3" t="s">
        <v>627</v>
      </c>
    </row>
    <row r="163" spans="1:32" ht="11.25" customHeight="1" x14ac:dyDescent="0.3">
      <c r="A163" s="3" t="s">
        <v>21</v>
      </c>
      <c r="B163" s="3" t="s">
        <v>33</v>
      </c>
      <c r="C163" s="3" t="s">
        <v>23</v>
      </c>
      <c r="D163" s="3" t="s">
        <v>48</v>
      </c>
      <c r="E163" s="3" t="s">
        <v>49</v>
      </c>
      <c r="F163" s="3" t="s">
        <v>25</v>
      </c>
      <c r="G163" s="3" t="s">
        <v>25</v>
      </c>
      <c r="H163" s="3" t="s">
        <v>25</v>
      </c>
      <c r="I163" s="6">
        <v>44743</v>
      </c>
      <c r="J163" s="4">
        <v>0</v>
      </c>
      <c r="K163" s="58">
        <v>0</v>
      </c>
      <c r="L163" s="4">
        <v>19.311</v>
      </c>
      <c r="M163" s="58">
        <v>19.311</v>
      </c>
      <c r="N163" s="4">
        <v>19.311</v>
      </c>
      <c r="O163" s="58">
        <v>19.311</v>
      </c>
      <c r="P163" s="4">
        <v>4</v>
      </c>
      <c r="Q163" s="3" t="s">
        <v>26</v>
      </c>
      <c r="R163" s="3">
        <v>0</v>
      </c>
      <c r="S163" s="3">
        <v>0</v>
      </c>
      <c r="T163" s="3">
        <v>46</v>
      </c>
      <c r="U163" s="3">
        <v>84</v>
      </c>
      <c r="V163" s="58">
        <f>IF(ISERROR(VLOOKUP($S$163,'TAR FIN'!$A$1:$O$88,15,0)),0,VLOOKUP($S$163,'TAR FIN'!$A$1:$O$88,15,0))</f>
        <v>0</v>
      </c>
      <c r="W163" s="58">
        <f>IF(ISERROR(VLOOKUP($T$163,'TAR FIN'!$A$1:$O$88,15,0)),0,VLOOKUP($T$163,'TAR FIN'!$A$1:$O$88,15,0))*(1-0.06)</f>
        <v>287.8186</v>
      </c>
      <c r="X163" s="58">
        <f>IF(ISERROR(VLOOKUP($U$163,'TAR FIN'!$A$1:$O$88,15,0)),0,VLOOKUP($U$163,'TAR FIN'!$A$1:$O$88,15,0))*(1-0.06)</f>
        <v>227.80899999999997</v>
      </c>
      <c r="Y163" s="58"/>
      <c r="Z163" s="58">
        <f ca="1">('TUSD BE'!$AM$48+'TUSD BF'!$AM$48+'TUSD CVA'!$AM$48)*1*(1-0.03)</f>
        <v>434.58098249419061</v>
      </c>
      <c r="AA163" s="58">
        <f>('TE BE'!$AB$38+'TE BF'!$AB$38+'TE CVA'!$AB$38)*1*(1-0.03)</f>
        <v>185.27728864126183</v>
      </c>
      <c r="AB163" s="58">
        <f>(SUBSIDIO!$J$163*SUBSIDIO!$V$163)*(0.06)/(1-0.06)</f>
        <v>0</v>
      </c>
      <c r="AC163" s="58">
        <f>((SUBSIDIO!$L$163*SUBSIDIO!$W$163)+(SUBSIDIO!$N$163*SUBSIDIO!$X$163))*(0.06)/(1-0.06)</f>
        <v>635.5713563999999</v>
      </c>
      <c r="AD163" s="58">
        <f>(SUBSIDIO!$J$163*SUBSIDIO!$Y$163)*(0.03)/(1-0.03)</f>
        <v>0</v>
      </c>
      <c r="AE163" s="58">
        <f ca="1">((SUBSIDIO!$L$163*SUBSIDIO!$Z$163)+(SUBSIDIO!$N$163*SUBSIDIO!$AA$163))*(0.03)/(1-0.03)</f>
        <v>370.20875486278521</v>
      </c>
      <c r="AF163" s="3" t="s">
        <v>627</v>
      </c>
    </row>
    <row r="164" spans="1:32" ht="11.25" customHeight="1" x14ac:dyDescent="0.3">
      <c r="A164" s="3" t="s">
        <v>55</v>
      </c>
      <c r="B164" s="3" t="s">
        <v>33</v>
      </c>
      <c r="C164" s="3" t="s">
        <v>23</v>
      </c>
      <c r="D164" s="3" t="s">
        <v>48</v>
      </c>
      <c r="E164" s="3" t="s">
        <v>49</v>
      </c>
      <c r="F164" s="3" t="s">
        <v>25</v>
      </c>
      <c r="G164" s="3" t="s">
        <v>25</v>
      </c>
      <c r="H164" s="3" t="s">
        <v>25</v>
      </c>
      <c r="I164" s="6">
        <v>44774</v>
      </c>
      <c r="J164" s="4">
        <v>0</v>
      </c>
      <c r="K164" s="58">
        <v>0</v>
      </c>
      <c r="L164" s="4">
        <v>19.311</v>
      </c>
      <c r="M164" s="58">
        <v>19.311</v>
      </c>
      <c r="N164" s="4">
        <v>19.311</v>
      </c>
      <c r="O164" s="58">
        <v>19.311</v>
      </c>
      <c r="P164" s="4">
        <v>4</v>
      </c>
      <c r="Q164" s="3" t="s">
        <v>26</v>
      </c>
      <c r="R164" s="3">
        <v>0</v>
      </c>
      <c r="S164" s="3">
        <v>0</v>
      </c>
      <c r="T164" s="3">
        <v>46</v>
      </c>
      <c r="U164" s="3">
        <v>84</v>
      </c>
      <c r="V164" s="58">
        <f>IF(ISERROR(VLOOKUP($S$164,'TAR FIN'!$A$1:$O$88,15,0)),0,VLOOKUP($S$164,'TAR FIN'!$A$1:$O$88,15,0))</f>
        <v>0</v>
      </c>
      <c r="W164" s="58">
        <f>IF(ISERROR(VLOOKUP($T$164,'TAR FIN'!$A$1:$O$88,15,0)),0,VLOOKUP($T$164,'TAR FIN'!$A$1:$O$88,15,0))*(1-0.06)</f>
        <v>287.8186</v>
      </c>
      <c r="X164" s="58">
        <f>IF(ISERROR(VLOOKUP($U$164,'TAR FIN'!$A$1:$O$88,15,0)),0,VLOOKUP($U$164,'TAR FIN'!$A$1:$O$88,15,0))*(1-0.06)</f>
        <v>227.80899999999997</v>
      </c>
      <c r="Y164" s="58"/>
      <c r="Z164" s="58">
        <f ca="1">('TUSD BE'!$AM$48+'TUSD BF'!$AM$48+'TUSD CVA'!$AM$48)*1*(1-0.03)</f>
        <v>434.58098249419061</v>
      </c>
      <c r="AA164" s="58">
        <f>('TE BE'!$AB$38+'TE BF'!$AB$38+'TE CVA'!$AB$38)*1*(1-0.03)</f>
        <v>185.27728864126183</v>
      </c>
      <c r="AB164" s="58">
        <f>(SUBSIDIO!$J$164*SUBSIDIO!$V$164)*(0.06)/(1-0.06)</f>
        <v>0</v>
      </c>
      <c r="AC164" s="58">
        <f>((SUBSIDIO!$L$164*SUBSIDIO!$W$164)+(SUBSIDIO!$N$164*SUBSIDIO!$X$164))*(0.06)/(1-0.06)</f>
        <v>635.5713563999999</v>
      </c>
      <c r="AD164" s="58">
        <f>(SUBSIDIO!$J$164*SUBSIDIO!$Y$164)*(0.03)/(1-0.03)</f>
        <v>0</v>
      </c>
      <c r="AE164" s="58">
        <f ca="1">((SUBSIDIO!$L$164*SUBSIDIO!$Z$164)+(SUBSIDIO!$N$164*SUBSIDIO!$AA$164))*(0.03)/(1-0.03)</f>
        <v>370.20875486278521</v>
      </c>
      <c r="AF164" s="3" t="s">
        <v>627</v>
      </c>
    </row>
    <row r="165" spans="1:32" ht="11.25" customHeight="1" x14ac:dyDescent="0.3"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2" ht="11.25" customHeight="1" x14ac:dyDescent="0.3"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2" ht="11.25" customHeight="1" x14ac:dyDescent="0.3"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2" ht="11.25" customHeight="1" x14ac:dyDescent="0.3"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2" ht="11.25" customHeight="1" x14ac:dyDescent="0.3"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2" ht="11.25" customHeight="1" x14ac:dyDescent="0.3"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2" ht="11.25" customHeight="1" x14ac:dyDescent="0.3"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2" ht="11.25" customHeight="1" x14ac:dyDescent="0.3"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2" ht="11.25" customHeight="1" x14ac:dyDescent="0.3"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2" ht="11.25" customHeight="1" x14ac:dyDescent="0.3"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2" ht="11.25" customHeight="1" x14ac:dyDescent="0.3"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2" ht="11.25" customHeight="1" x14ac:dyDescent="0.3"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22:31" ht="11.25" customHeight="1" x14ac:dyDescent="0.3"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22:31" ht="11.25" customHeight="1" x14ac:dyDescent="0.3"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22:31" ht="11.25" customHeight="1" x14ac:dyDescent="0.3"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22:31" ht="11.25" customHeight="1" x14ac:dyDescent="0.3"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22:31" ht="11.25" customHeight="1" x14ac:dyDescent="0.3"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22:31" ht="11.25" customHeight="1" x14ac:dyDescent="0.3"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22:31" ht="11.25" customHeight="1" x14ac:dyDescent="0.3"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22:31" ht="11.25" customHeight="1" x14ac:dyDescent="0.3"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22:31" ht="11.25" customHeight="1" x14ac:dyDescent="0.3"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22:31" ht="11.25" customHeight="1" x14ac:dyDescent="0.3"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22:31" ht="11.25" customHeight="1" x14ac:dyDescent="0.3"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22:31" ht="11.25" customHeight="1" x14ac:dyDescent="0.3"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22:31" ht="11.25" customHeight="1" x14ac:dyDescent="0.3"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22:31" ht="11.25" customHeight="1" x14ac:dyDescent="0.3"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22:31" ht="11.25" customHeight="1" x14ac:dyDescent="0.3"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22:31" ht="11.25" customHeight="1" x14ac:dyDescent="0.3"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22:31" ht="11.25" customHeight="1" x14ac:dyDescent="0.3"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22:31" ht="11.25" customHeight="1" x14ac:dyDescent="0.3"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22:31" ht="11.25" customHeight="1" x14ac:dyDescent="0.3"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22:31" ht="11.25" customHeight="1" x14ac:dyDescent="0.3"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22:31" ht="11.25" customHeight="1" x14ac:dyDescent="0.3"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22:31" ht="11.25" customHeight="1" x14ac:dyDescent="0.3"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22:31" ht="11.25" customHeight="1" x14ac:dyDescent="0.3"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22:31" ht="11.25" customHeight="1" x14ac:dyDescent="0.3"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22:31" ht="11.25" customHeight="1" x14ac:dyDescent="0.3"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22:31" ht="11.25" customHeight="1" x14ac:dyDescent="0.3"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22:31" ht="11.25" customHeight="1" x14ac:dyDescent="0.3"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22:31" ht="11.25" customHeight="1" x14ac:dyDescent="0.3"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22:31" ht="11.25" customHeight="1" x14ac:dyDescent="0.3"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22:31" ht="11.25" customHeight="1" x14ac:dyDescent="0.3"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22:31" ht="11.25" customHeight="1" x14ac:dyDescent="0.3"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22:31" ht="11.25" customHeight="1" x14ac:dyDescent="0.3"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22:31" ht="11.25" customHeight="1" x14ac:dyDescent="0.3"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2:31" ht="11.25" customHeight="1" x14ac:dyDescent="0.3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2:31" ht="11.25" customHeight="1" x14ac:dyDescent="0.3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2:31" ht="11.25" customHeight="1" x14ac:dyDescent="0.3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2:31" ht="11.25" customHeight="1" x14ac:dyDescent="0.3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2:31" ht="11.25" customHeight="1" x14ac:dyDescent="0.3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2:31" ht="11.25" customHeight="1" x14ac:dyDescent="0.3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2:31" ht="11.25" customHeight="1" x14ac:dyDescent="0.3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2:31" ht="11.25" customHeight="1" x14ac:dyDescent="0.3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2:31" ht="11.25" customHeight="1" x14ac:dyDescent="0.3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2:31" ht="11.25" customHeight="1" x14ac:dyDescent="0.3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2:31" ht="11.25" customHeight="1" x14ac:dyDescent="0.3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2:31" ht="11.25" customHeight="1" x14ac:dyDescent="0.3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2:31" ht="11.25" customHeight="1" x14ac:dyDescent="0.3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2:31" ht="11.25" customHeight="1" x14ac:dyDescent="0.3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2:31" ht="11.25" customHeight="1" x14ac:dyDescent="0.3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3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3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3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3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3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3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3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3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3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3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3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3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3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3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3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3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3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3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3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3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3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3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3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3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3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3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3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3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3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3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3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3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3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3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3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3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3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3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3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3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3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3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3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3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3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3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3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3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3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3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3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3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3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3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3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3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3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3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3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3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3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3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3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3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3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3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3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3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3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3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3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3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3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3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3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3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3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3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3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3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3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3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3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3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3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3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3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3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3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3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3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3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3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3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3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3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3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3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3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3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3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3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3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3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3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3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3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3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3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3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3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3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3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3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3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3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3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3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3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3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3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3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3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3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3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3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3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3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3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3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3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3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3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3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3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3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3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3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3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3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3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3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3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3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3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3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3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3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3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3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3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3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3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3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3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3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3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3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3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3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3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3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3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3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3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3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3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3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BECA0-8762-43D5-8A5D-7FE0B9D83EBD}">
  <dimension ref="A1:J404"/>
  <sheetViews>
    <sheetView showGridLines="0" workbookViewId="0"/>
  </sheetViews>
  <sheetFormatPr defaultColWidth="9.109375" defaultRowHeight="11.25" customHeight="1" x14ac:dyDescent="0.2"/>
  <cols>
    <col min="1" max="1" width="34.6640625" style="14" bestFit="1" customWidth="1"/>
    <col min="2" max="2" width="24.5546875" style="45" bestFit="1" customWidth="1"/>
    <col min="3" max="3" width="25.5546875" style="45" bestFit="1" customWidth="1"/>
    <col min="4" max="4" width="26" style="45" bestFit="1" customWidth="1"/>
    <col min="5" max="5" width="26.88671875" style="45" bestFit="1" customWidth="1"/>
    <col min="6" max="6" width="23.6640625" style="45" bestFit="1" customWidth="1"/>
    <col min="7" max="7" width="24.5546875" style="45" bestFit="1" customWidth="1"/>
    <col min="8" max="8" width="18.33203125" style="46" bestFit="1" customWidth="1"/>
    <col min="9" max="9" width="16" style="46" bestFit="1" customWidth="1"/>
    <col min="10" max="10" width="13.88671875" style="46" bestFit="1" customWidth="1"/>
    <col min="11" max="16384" width="9.109375" style="14"/>
  </cols>
  <sheetData>
    <row r="1" spans="1:10" ht="11.25" customHeight="1" x14ac:dyDescent="0.2">
      <c r="A1" s="44" t="s">
        <v>609</v>
      </c>
      <c r="B1" s="45" t="s">
        <v>610</v>
      </c>
      <c r="C1" s="45" t="s">
        <v>611</v>
      </c>
      <c r="D1" s="45" t="s">
        <v>612</v>
      </c>
      <c r="E1" s="45" t="s">
        <v>613</v>
      </c>
      <c r="F1" s="45" t="s">
        <v>614</v>
      </c>
      <c r="G1" s="45" t="s">
        <v>615</v>
      </c>
      <c r="H1" s="46" t="s">
        <v>616</v>
      </c>
      <c r="I1" s="46" t="s">
        <v>617</v>
      </c>
      <c r="J1" s="46" t="s">
        <v>618</v>
      </c>
    </row>
    <row r="2" spans="1:10" ht="11.25" customHeight="1" x14ac:dyDescent="0.2">
      <c r="A2" s="47" t="s">
        <v>26</v>
      </c>
      <c r="B2" s="45">
        <v>1526365.6199999999</v>
      </c>
      <c r="C2" s="45">
        <v>2161399.6232001763</v>
      </c>
      <c r="D2" s="45">
        <v>8436175.0400479957</v>
      </c>
      <c r="E2" s="45">
        <v>12405306.567062421</v>
      </c>
      <c r="F2" s="45">
        <v>9671945.1398160011</v>
      </c>
      <c r="G2" s="45">
        <v>7685494.5834002411</v>
      </c>
      <c r="H2" s="46">
        <v>0.46214772790622916</v>
      </c>
      <c r="I2" s="46">
        <v>-0.20538273611977442</v>
      </c>
      <c r="J2" s="46">
        <v>0.13332230853822358</v>
      </c>
    </row>
    <row r="3" spans="1:10" ht="11.25" customHeight="1" x14ac:dyDescent="0.2">
      <c r="A3" s="48" t="s">
        <v>35</v>
      </c>
      <c r="B3" s="45">
        <v>1526365.6199999999</v>
      </c>
      <c r="C3" s="45">
        <v>2161399.6232001763</v>
      </c>
      <c r="D3" s="45">
        <v>3887464.4446199993</v>
      </c>
      <c r="E3" s="45">
        <v>5603401.6866703592</v>
      </c>
      <c r="F3" s="45">
        <v>6055036.2286</v>
      </c>
      <c r="G3" s="45">
        <v>4772260.8524334105</v>
      </c>
      <c r="H3" s="46">
        <v>0.43425287036887306</v>
      </c>
      <c r="I3" s="46">
        <v>-0.21185263435875157</v>
      </c>
      <c r="J3" s="46">
        <v>9.3138749879352112E-2</v>
      </c>
    </row>
    <row r="4" spans="1:10" ht="11.25" customHeight="1" x14ac:dyDescent="0.2">
      <c r="A4" s="49" t="s">
        <v>36</v>
      </c>
      <c r="B4" s="45">
        <v>1526365.6199999999</v>
      </c>
      <c r="C4" s="45">
        <v>2161399.6232001763</v>
      </c>
      <c r="D4" s="45">
        <v>3887464.4446199993</v>
      </c>
      <c r="E4" s="45">
        <v>5603401.6866703592</v>
      </c>
      <c r="F4" s="45">
        <v>6055036.2286</v>
      </c>
      <c r="G4" s="45">
        <v>4772260.8524334105</v>
      </c>
      <c r="H4" s="46">
        <v>0.43425287036887306</v>
      </c>
      <c r="I4" s="46">
        <v>-0.21185263435875157</v>
      </c>
      <c r="J4" s="46">
        <v>9.3138749879352112E-2</v>
      </c>
    </row>
    <row r="5" spans="1:10" ht="11.25" customHeight="1" x14ac:dyDescent="0.2">
      <c r="A5" s="50" t="s">
        <v>39</v>
      </c>
      <c r="B5" s="45">
        <v>26114.399999999994</v>
      </c>
      <c r="C5" s="45">
        <v>36979.117965260957</v>
      </c>
      <c r="D5" s="45">
        <v>71230.044389999995</v>
      </c>
      <c r="E5" s="45">
        <v>102703.47787854972</v>
      </c>
      <c r="F5" s="45">
        <v>92333.411200000002</v>
      </c>
      <c r="G5" s="45">
        <v>72772.334797950141</v>
      </c>
      <c r="H5" s="46">
        <v>0.43493135863190568</v>
      </c>
      <c r="I5" s="46">
        <v>-0.21185263435875157</v>
      </c>
      <c r="J5" s="46">
        <v>0.12008294263403552</v>
      </c>
    </row>
    <row r="6" spans="1:10" ht="11.25" customHeight="1" x14ac:dyDescent="0.2">
      <c r="A6" s="51" t="s">
        <v>25</v>
      </c>
      <c r="B6" s="45">
        <v>26114.399999999994</v>
      </c>
      <c r="C6" s="45">
        <v>36979.117965260957</v>
      </c>
      <c r="D6" s="45">
        <v>71230.044389999995</v>
      </c>
      <c r="E6" s="45">
        <v>102703.47787854972</v>
      </c>
      <c r="F6" s="45">
        <v>92333.411200000002</v>
      </c>
      <c r="G6" s="45">
        <v>72772.334797950141</v>
      </c>
      <c r="H6" s="46">
        <v>0.43493135863190568</v>
      </c>
      <c r="I6" s="46">
        <v>-0.21185263435875157</v>
      </c>
      <c r="J6" s="46">
        <v>0.12008294263403552</v>
      </c>
    </row>
    <row r="7" spans="1:10" ht="11.25" customHeight="1" x14ac:dyDescent="0.2">
      <c r="A7" s="52" t="s">
        <v>25</v>
      </c>
      <c r="B7" s="45">
        <v>26114.399999999994</v>
      </c>
      <c r="C7" s="45">
        <v>36979.117965260957</v>
      </c>
      <c r="D7" s="45">
        <v>71230.044389999995</v>
      </c>
      <c r="E7" s="45">
        <v>102703.47787854972</v>
      </c>
      <c r="F7" s="45">
        <v>92333.411200000002</v>
      </c>
      <c r="G7" s="45">
        <v>72772.334797950141</v>
      </c>
      <c r="H7" s="46">
        <v>0.43493135863190568</v>
      </c>
      <c r="I7" s="46">
        <v>-0.21185263435875157</v>
      </c>
      <c r="J7" s="46">
        <v>0.12008294263403552</v>
      </c>
    </row>
    <row r="8" spans="1:10" ht="11.25" customHeight="1" x14ac:dyDescent="0.2">
      <c r="A8" s="53" t="s">
        <v>25</v>
      </c>
      <c r="B8" s="45">
        <v>26114.399999999994</v>
      </c>
      <c r="C8" s="45">
        <v>36979.117965260957</v>
      </c>
      <c r="D8" s="45">
        <v>71230.044389999995</v>
      </c>
      <c r="E8" s="45">
        <v>102703.47787854972</v>
      </c>
      <c r="F8" s="45">
        <v>92333.411200000002</v>
      </c>
      <c r="G8" s="45">
        <v>72772.334797950141</v>
      </c>
      <c r="H8" s="46">
        <v>0.43493135863190568</v>
      </c>
      <c r="I8" s="46">
        <v>-0.21185263435875157</v>
      </c>
      <c r="J8" s="46">
        <v>0.12008294263403552</v>
      </c>
    </row>
    <row r="9" spans="1:10" ht="11.25" customHeight="1" x14ac:dyDescent="0.2">
      <c r="A9" s="54" t="s">
        <v>38</v>
      </c>
      <c r="B9" s="45">
        <v>0</v>
      </c>
      <c r="C9" s="45">
        <v>0</v>
      </c>
      <c r="D9" s="45">
        <v>21556.105230000001</v>
      </c>
      <c r="E9" s="45">
        <v>30982.38381755881</v>
      </c>
      <c r="F9" s="45">
        <v>84656.005549999987</v>
      </c>
      <c r="G9" s="45">
        <v>66721.407759943395</v>
      </c>
      <c r="H9" s="46">
        <v>0.43729043289508973</v>
      </c>
      <c r="I9" s="46">
        <v>-0.21185263435875157</v>
      </c>
      <c r="J9" s="46">
        <v>-8.0106864838806247E-2</v>
      </c>
    </row>
    <row r="10" spans="1:10" ht="11.25" customHeight="1" x14ac:dyDescent="0.2">
      <c r="A10" s="55">
        <v>44440</v>
      </c>
      <c r="B10" s="45">
        <v>0</v>
      </c>
      <c r="C10" s="45">
        <v>0</v>
      </c>
      <c r="D10" s="45">
        <v>1587.11949</v>
      </c>
      <c r="E10" s="45">
        <v>2281.1516588383342</v>
      </c>
      <c r="F10" s="45">
        <v>6232.9996499999997</v>
      </c>
      <c r="G10" s="45">
        <v>4912.5222541903231</v>
      </c>
      <c r="H10" s="46">
        <v>0.43729043289508973</v>
      </c>
      <c r="I10" s="46">
        <v>-0.21185263435875157</v>
      </c>
      <c r="J10" s="46">
        <v>-8.0106864838806358E-2</v>
      </c>
    </row>
    <row r="11" spans="1:10" ht="11.25" customHeight="1" x14ac:dyDescent="0.2">
      <c r="A11" s="55">
        <v>44470</v>
      </c>
      <c r="B11" s="45">
        <v>0</v>
      </c>
      <c r="C11" s="45">
        <v>0</v>
      </c>
      <c r="D11" s="45">
        <v>1637.9068200000002</v>
      </c>
      <c r="E11" s="45">
        <v>2354.1478023596201</v>
      </c>
      <c r="F11" s="45">
        <v>6432.4537</v>
      </c>
      <c r="G11" s="45">
        <v>5069.7214382643015</v>
      </c>
      <c r="H11" s="46">
        <v>0.43729043289508973</v>
      </c>
      <c r="I11" s="46">
        <v>-0.21185263435875157</v>
      </c>
      <c r="J11" s="46">
        <v>-8.0106864838806358E-2</v>
      </c>
    </row>
    <row r="12" spans="1:10" ht="11.25" customHeight="1" x14ac:dyDescent="0.2">
      <c r="A12" s="55">
        <v>44501</v>
      </c>
      <c r="B12" s="45">
        <v>0</v>
      </c>
      <c r="C12" s="45">
        <v>0</v>
      </c>
      <c r="D12" s="45">
        <v>1780.1483700000001</v>
      </c>
      <c r="E12" s="45">
        <v>2558.5902213347886</v>
      </c>
      <c r="F12" s="45">
        <v>6991.0704500000002</v>
      </c>
      <c r="G12" s="45">
        <v>5509.9937581798777</v>
      </c>
      <c r="H12" s="46">
        <v>0.43729043289508973</v>
      </c>
      <c r="I12" s="46">
        <v>-0.21185263435875157</v>
      </c>
      <c r="J12" s="46">
        <v>-8.0106864838806358E-2</v>
      </c>
    </row>
    <row r="13" spans="1:10" ht="11.25" customHeight="1" x14ac:dyDescent="0.2">
      <c r="A13" s="55">
        <v>44531</v>
      </c>
      <c r="B13" s="45">
        <v>0</v>
      </c>
      <c r="C13" s="45">
        <v>0</v>
      </c>
      <c r="D13" s="45">
        <v>2028.4694100000002</v>
      </c>
      <c r="E13" s="45">
        <v>2915.4996764133475</v>
      </c>
      <c r="F13" s="45">
        <v>7966.2868500000004</v>
      </c>
      <c r="G13" s="45">
        <v>6278.6079947700191</v>
      </c>
      <c r="H13" s="46">
        <v>0.43729043289508973</v>
      </c>
      <c r="I13" s="46">
        <v>-0.21185263435875157</v>
      </c>
      <c r="J13" s="46">
        <v>-8.0106864838806358E-2</v>
      </c>
    </row>
    <row r="14" spans="1:10" ht="11.25" customHeight="1" x14ac:dyDescent="0.2">
      <c r="A14" s="55">
        <v>44562</v>
      </c>
      <c r="B14" s="45">
        <v>0</v>
      </c>
      <c r="C14" s="45">
        <v>0</v>
      </c>
      <c r="D14" s="45">
        <v>2202.6767400000003</v>
      </c>
      <c r="E14" s="45">
        <v>3165.8862051625456</v>
      </c>
      <c r="F14" s="45">
        <v>8650.4408999999996</v>
      </c>
      <c r="G14" s="45">
        <v>6817.8222069703106</v>
      </c>
      <c r="H14" s="46">
        <v>0.43729043289508973</v>
      </c>
      <c r="I14" s="46">
        <v>-0.21185263435875146</v>
      </c>
      <c r="J14" s="46">
        <v>-8.0106864838806358E-2</v>
      </c>
    </row>
    <row r="15" spans="1:10" ht="11.25" customHeight="1" x14ac:dyDescent="0.2">
      <c r="A15" s="55">
        <v>44593</v>
      </c>
      <c r="B15" s="45">
        <v>0</v>
      </c>
      <c r="C15" s="45">
        <v>0</v>
      </c>
      <c r="D15" s="45">
        <v>1949.1103500000002</v>
      </c>
      <c r="E15" s="45">
        <v>2801.4376587118004</v>
      </c>
      <c r="F15" s="45">
        <v>7654.6247499999999</v>
      </c>
      <c r="G15" s="45">
        <v>6032.9723316847994</v>
      </c>
      <c r="H15" s="46">
        <v>0.43729043289508995</v>
      </c>
      <c r="I15" s="46">
        <v>-0.21185263435875157</v>
      </c>
      <c r="J15" s="46">
        <v>-8.0106864838806358E-2</v>
      </c>
    </row>
    <row r="16" spans="1:10" ht="11.25" customHeight="1" x14ac:dyDescent="0.2">
      <c r="A16" s="55">
        <v>44621</v>
      </c>
      <c r="B16" s="45">
        <v>0</v>
      </c>
      <c r="C16" s="45">
        <v>0</v>
      </c>
      <c r="D16" s="45">
        <v>1971.6344999999999</v>
      </c>
      <c r="E16" s="45">
        <v>2833.8114040158939</v>
      </c>
      <c r="F16" s="45">
        <v>7743.0824999999995</v>
      </c>
      <c r="G16" s="45">
        <v>6102.6900743178512</v>
      </c>
      <c r="H16" s="46">
        <v>0.43729043289508995</v>
      </c>
      <c r="I16" s="46">
        <v>-0.21185263435875157</v>
      </c>
      <c r="J16" s="46">
        <v>-8.0106864838806358E-2</v>
      </c>
    </row>
    <row r="17" spans="1:10" ht="11.25" customHeight="1" x14ac:dyDescent="0.2">
      <c r="A17" s="55">
        <v>44652</v>
      </c>
      <c r="B17" s="45">
        <v>0</v>
      </c>
      <c r="C17" s="45">
        <v>0</v>
      </c>
      <c r="D17" s="45">
        <v>1844.3884800000001</v>
      </c>
      <c r="E17" s="45">
        <v>2650.9219168459172</v>
      </c>
      <c r="F17" s="45">
        <v>7243.3568000000005</v>
      </c>
      <c r="G17" s="45">
        <v>5708.832580319623</v>
      </c>
      <c r="H17" s="46">
        <v>0.43729043289508995</v>
      </c>
      <c r="I17" s="46">
        <v>-0.21185263435875168</v>
      </c>
      <c r="J17" s="46">
        <v>-8.0106864838806358E-2</v>
      </c>
    </row>
    <row r="18" spans="1:10" ht="11.25" customHeight="1" x14ac:dyDescent="0.2">
      <c r="A18" s="55">
        <v>44682</v>
      </c>
      <c r="B18" s="45">
        <v>0</v>
      </c>
      <c r="C18" s="45">
        <v>0</v>
      </c>
      <c r="D18" s="45">
        <v>1691.22426</v>
      </c>
      <c r="E18" s="45">
        <v>2430.7804487780777</v>
      </c>
      <c r="F18" s="45">
        <v>6641.8440999999993</v>
      </c>
      <c r="G18" s="45">
        <v>5234.7519304148682</v>
      </c>
      <c r="H18" s="46">
        <v>0.43729043289508973</v>
      </c>
      <c r="I18" s="46">
        <v>-0.21185263435875157</v>
      </c>
      <c r="J18" s="46">
        <v>-8.0106864838806358E-2</v>
      </c>
    </row>
    <row r="19" spans="1:10" ht="11.25" customHeight="1" x14ac:dyDescent="0.2">
      <c r="A19" s="55">
        <v>44713</v>
      </c>
      <c r="B19" s="45">
        <v>0</v>
      </c>
      <c r="C19" s="45">
        <v>0</v>
      </c>
      <c r="D19" s="45">
        <v>1539.8496299999999</v>
      </c>
      <c r="E19" s="45">
        <v>2213.2111412960439</v>
      </c>
      <c r="F19" s="45">
        <v>6047.3595500000001</v>
      </c>
      <c r="G19" s="45">
        <v>4766.210498417945</v>
      </c>
      <c r="H19" s="46">
        <v>0.43729043289508995</v>
      </c>
      <c r="I19" s="46">
        <v>-0.21185263435875168</v>
      </c>
      <c r="J19" s="46">
        <v>-8.0106864838806358E-2</v>
      </c>
    </row>
    <row r="20" spans="1:10" ht="11.25" customHeight="1" x14ac:dyDescent="0.2">
      <c r="A20" s="55">
        <v>44743</v>
      </c>
      <c r="B20" s="45">
        <v>0</v>
      </c>
      <c r="C20" s="45">
        <v>0</v>
      </c>
      <c r="D20" s="45">
        <v>1661.7885899999999</v>
      </c>
      <c r="E20" s="45">
        <v>2388.4728419012208</v>
      </c>
      <c r="F20" s="45">
        <v>6526.2431499999993</v>
      </c>
      <c r="G20" s="45">
        <v>5143.6413462067421</v>
      </c>
      <c r="H20" s="46">
        <v>0.43729043289508995</v>
      </c>
      <c r="I20" s="46">
        <v>-0.21185263435875157</v>
      </c>
      <c r="J20" s="46">
        <v>-8.0106864838806358E-2</v>
      </c>
    </row>
    <row r="21" spans="1:10" ht="11.25" customHeight="1" x14ac:dyDescent="0.2">
      <c r="A21" s="55">
        <v>44774</v>
      </c>
      <c r="B21" s="45">
        <v>0</v>
      </c>
      <c r="C21" s="45">
        <v>0</v>
      </c>
      <c r="D21" s="45">
        <v>1661.7885899999999</v>
      </c>
      <c r="E21" s="45">
        <v>2388.4728419012208</v>
      </c>
      <c r="F21" s="45">
        <v>6526.2431499999993</v>
      </c>
      <c r="G21" s="45">
        <v>5143.6413462067421</v>
      </c>
      <c r="H21" s="46">
        <v>0.43729043289508995</v>
      </c>
      <c r="I21" s="46">
        <v>-0.21185263435875157</v>
      </c>
      <c r="J21" s="46">
        <v>-8.0106864838806358E-2</v>
      </c>
    </row>
    <row r="22" spans="1:10" ht="11.25" customHeight="1" x14ac:dyDescent="0.2">
      <c r="A22" s="54" t="s">
        <v>25</v>
      </c>
      <c r="B22" s="45">
        <v>26114.399999999994</v>
      </c>
      <c r="C22" s="45">
        <v>36979.117965260957</v>
      </c>
      <c r="D22" s="45">
        <v>0</v>
      </c>
      <c r="E22" s="45">
        <v>0</v>
      </c>
      <c r="F22" s="45">
        <v>0</v>
      </c>
      <c r="G22" s="45">
        <v>0</v>
      </c>
      <c r="H22" s="46">
        <v>0.41604317791184031</v>
      </c>
      <c r="I22" s="46">
        <v>0</v>
      </c>
      <c r="J22" s="46">
        <v>0.41604317791184031</v>
      </c>
    </row>
    <row r="23" spans="1:10" ht="11.25" customHeight="1" x14ac:dyDescent="0.2">
      <c r="A23" s="55">
        <v>44440</v>
      </c>
      <c r="B23" s="45">
        <v>2063.8799999999997</v>
      </c>
      <c r="C23" s="45">
        <v>2922.5431940286885</v>
      </c>
      <c r="D23" s="45">
        <v>0</v>
      </c>
      <c r="E23" s="45">
        <v>0</v>
      </c>
      <c r="F23" s="45">
        <v>0</v>
      </c>
      <c r="G23" s="45">
        <v>0</v>
      </c>
      <c r="H23" s="46">
        <v>0.41604317791184031</v>
      </c>
      <c r="I23" s="46">
        <v>0</v>
      </c>
      <c r="J23" s="46">
        <v>0.41604317791184031</v>
      </c>
    </row>
    <row r="24" spans="1:10" ht="11.25" customHeight="1" x14ac:dyDescent="0.2">
      <c r="A24" s="55">
        <v>44470</v>
      </c>
      <c r="B24" s="45">
        <v>2000.6999999999998</v>
      </c>
      <c r="C24" s="45">
        <v>2833.0775860482186</v>
      </c>
      <c r="D24" s="45">
        <v>0</v>
      </c>
      <c r="E24" s="45">
        <v>0</v>
      </c>
      <c r="F24" s="45">
        <v>0</v>
      </c>
      <c r="G24" s="45">
        <v>0</v>
      </c>
      <c r="H24" s="46">
        <v>0.41604317791184031</v>
      </c>
      <c r="I24" s="46">
        <v>0</v>
      </c>
      <c r="J24" s="46">
        <v>0.41604317791184031</v>
      </c>
    </row>
    <row r="25" spans="1:10" ht="11.25" customHeight="1" x14ac:dyDescent="0.2">
      <c r="A25" s="55">
        <v>44501</v>
      </c>
      <c r="B25" s="45">
        <v>2106</v>
      </c>
      <c r="C25" s="45">
        <v>2982.1869326823353</v>
      </c>
      <c r="D25" s="45">
        <v>0</v>
      </c>
      <c r="E25" s="45">
        <v>0</v>
      </c>
      <c r="F25" s="45">
        <v>0</v>
      </c>
      <c r="G25" s="45">
        <v>0</v>
      </c>
      <c r="H25" s="46">
        <v>0.41604317791184009</v>
      </c>
      <c r="I25" s="46">
        <v>0</v>
      </c>
      <c r="J25" s="46">
        <v>0.41604317791184009</v>
      </c>
    </row>
    <row r="26" spans="1:10" ht="11.25" customHeight="1" x14ac:dyDescent="0.2">
      <c r="A26" s="55">
        <v>44531</v>
      </c>
      <c r="B26" s="45">
        <v>2358.7199999999998</v>
      </c>
      <c r="C26" s="45">
        <v>3340.0493646042155</v>
      </c>
      <c r="D26" s="45">
        <v>0</v>
      </c>
      <c r="E26" s="45">
        <v>0</v>
      </c>
      <c r="F26" s="45">
        <v>0</v>
      </c>
      <c r="G26" s="45">
        <v>0</v>
      </c>
      <c r="H26" s="46">
        <v>0.41604317791184031</v>
      </c>
      <c r="I26" s="46">
        <v>0</v>
      </c>
      <c r="J26" s="46">
        <v>0.41604317791184031</v>
      </c>
    </row>
    <row r="27" spans="1:10" ht="11.25" customHeight="1" x14ac:dyDescent="0.2">
      <c r="A27" s="55">
        <v>44562</v>
      </c>
      <c r="B27" s="45">
        <v>2421.8999999999996</v>
      </c>
      <c r="C27" s="45">
        <v>3429.5149725846859</v>
      </c>
      <c r="D27" s="45">
        <v>0</v>
      </c>
      <c r="E27" s="45">
        <v>0</v>
      </c>
      <c r="F27" s="45">
        <v>0</v>
      </c>
      <c r="G27" s="45">
        <v>0</v>
      </c>
      <c r="H27" s="46">
        <v>0.41604317791184053</v>
      </c>
      <c r="I27" s="46">
        <v>0</v>
      </c>
      <c r="J27" s="46">
        <v>0.41604317791184053</v>
      </c>
    </row>
    <row r="28" spans="1:10" ht="11.25" customHeight="1" x14ac:dyDescent="0.2">
      <c r="A28" s="55">
        <v>44593</v>
      </c>
      <c r="B28" s="45">
        <v>2316.6</v>
      </c>
      <c r="C28" s="45">
        <v>3280.4056259505687</v>
      </c>
      <c r="D28" s="45">
        <v>0</v>
      </c>
      <c r="E28" s="45">
        <v>0</v>
      </c>
      <c r="F28" s="45">
        <v>0</v>
      </c>
      <c r="G28" s="45">
        <v>0</v>
      </c>
      <c r="H28" s="46">
        <v>0.41604317791184009</v>
      </c>
      <c r="I28" s="46">
        <v>0</v>
      </c>
      <c r="J28" s="46">
        <v>0.41604317791184009</v>
      </c>
    </row>
    <row r="29" spans="1:10" ht="11.25" customHeight="1" x14ac:dyDescent="0.2">
      <c r="A29" s="55">
        <v>44621</v>
      </c>
      <c r="B29" s="45">
        <v>2316.6</v>
      </c>
      <c r="C29" s="45">
        <v>3280.4056259505687</v>
      </c>
      <c r="D29" s="45">
        <v>0</v>
      </c>
      <c r="E29" s="45">
        <v>0</v>
      </c>
      <c r="F29" s="45">
        <v>0</v>
      </c>
      <c r="G29" s="45">
        <v>0</v>
      </c>
      <c r="H29" s="46">
        <v>0.41604317791184009</v>
      </c>
      <c r="I29" s="46">
        <v>0</v>
      </c>
      <c r="J29" s="46">
        <v>0.41604317791184009</v>
      </c>
    </row>
    <row r="30" spans="1:10" ht="11.25" customHeight="1" x14ac:dyDescent="0.2">
      <c r="A30" s="55">
        <v>44652</v>
      </c>
      <c r="B30" s="45">
        <v>2316.6</v>
      </c>
      <c r="C30" s="45">
        <v>3280.4056259505687</v>
      </c>
      <c r="D30" s="45">
        <v>0</v>
      </c>
      <c r="E30" s="45">
        <v>0</v>
      </c>
      <c r="F30" s="45">
        <v>0</v>
      </c>
      <c r="G30" s="45">
        <v>0</v>
      </c>
      <c r="H30" s="46">
        <v>0.41604317791184009</v>
      </c>
      <c r="I30" s="46">
        <v>0</v>
      </c>
      <c r="J30" s="46">
        <v>0.41604317791184009</v>
      </c>
    </row>
    <row r="31" spans="1:10" ht="11.25" customHeight="1" x14ac:dyDescent="0.2">
      <c r="A31" s="55">
        <v>44682</v>
      </c>
      <c r="B31" s="45">
        <v>2316.6</v>
      </c>
      <c r="C31" s="45">
        <v>3280.4056259505687</v>
      </c>
      <c r="D31" s="45">
        <v>0</v>
      </c>
      <c r="E31" s="45">
        <v>0</v>
      </c>
      <c r="F31" s="45">
        <v>0</v>
      </c>
      <c r="G31" s="45">
        <v>0</v>
      </c>
      <c r="H31" s="46">
        <v>0.41604317791184009</v>
      </c>
      <c r="I31" s="46">
        <v>0</v>
      </c>
      <c r="J31" s="46">
        <v>0.41604317791184009</v>
      </c>
    </row>
    <row r="32" spans="1:10" ht="11.25" customHeight="1" x14ac:dyDescent="0.2">
      <c r="A32" s="55">
        <v>44713</v>
      </c>
      <c r="B32" s="45">
        <v>2316.6</v>
      </c>
      <c r="C32" s="45">
        <v>3280.4056259505687</v>
      </c>
      <c r="D32" s="45">
        <v>0</v>
      </c>
      <c r="E32" s="45">
        <v>0</v>
      </c>
      <c r="F32" s="45">
        <v>0</v>
      </c>
      <c r="G32" s="45">
        <v>0</v>
      </c>
      <c r="H32" s="46">
        <v>0.41604317791184009</v>
      </c>
      <c r="I32" s="46">
        <v>0</v>
      </c>
      <c r="J32" s="46">
        <v>0.41604317791184009</v>
      </c>
    </row>
    <row r="33" spans="1:10" ht="11.25" customHeight="1" x14ac:dyDescent="0.2">
      <c r="A33" s="55">
        <v>44743</v>
      </c>
      <c r="B33" s="45">
        <v>1790.1</v>
      </c>
      <c r="C33" s="45">
        <v>2534.8588927799851</v>
      </c>
      <c r="D33" s="45">
        <v>0</v>
      </c>
      <c r="E33" s="45">
        <v>0</v>
      </c>
      <c r="F33" s="45">
        <v>0</v>
      </c>
      <c r="G33" s="45">
        <v>0</v>
      </c>
      <c r="H33" s="46">
        <v>0.41604317791184031</v>
      </c>
      <c r="I33" s="46">
        <v>0</v>
      </c>
      <c r="J33" s="46">
        <v>0.41604317791184031</v>
      </c>
    </row>
    <row r="34" spans="1:10" ht="11.25" customHeight="1" x14ac:dyDescent="0.2">
      <c r="A34" s="55">
        <v>44774</v>
      </c>
      <c r="B34" s="45">
        <v>1790.1</v>
      </c>
      <c r="C34" s="45">
        <v>2534.8588927799851</v>
      </c>
      <c r="D34" s="45">
        <v>0</v>
      </c>
      <c r="E34" s="45">
        <v>0</v>
      </c>
      <c r="F34" s="45">
        <v>0</v>
      </c>
      <c r="G34" s="45">
        <v>0</v>
      </c>
      <c r="H34" s="46">
        <v>0.41604317791184031</v>
      </c>
      <c r="I34" s="46">
        <v>0</v>
      </c>
      <c r="J34" s="46">
        <v>0.41604317791184031</v>
      </c>
    </row>
    <row r="35" spans="1:10" ht="11.25" customHeight="1" x14ac:dyDescent="0.2">
      <c r="A35" s="54" t="s">
        <v>37</v>
      </c>
      <c r="B35" s="45">
        <v>0</v>
      </c>
      <c r="C35" s="45">
        <v>0</v>
      </c>
      <c r="D35" s="45">
        <v>49673.939160000002</v>
      </c>
      <c r="E35" s="45">
        <v>71721.094060990916</v>
      </c>
      <c r="F35" s="45">
        <v>7677.4056499999979</v>
      </c>
      <c r="G35" s="45">
        <v>6050.9270380067355</v>
      </c>
      <c r="H35" s="46">
        <v>0.4438374583094149</v>
      </c>
      <c r="I35" s="46">
        <v>-0.21185263435875146</v>
      </c>
      <c r="J35" s="46">
        <v>0.35606272802581285</v>
      </c>
    </row>
    <row r="36" spans="1:10" ht="11.25" customHeight="1" x14ac:dyDescent="0.2">
      <c r="A36" s="55">
        <v>44440</v>
      </c>
      <c r="B36" s="45">
        <v>0</v>
      </c>
      <c r="C36" s="45">
        <v>0</v>
      </c>
      <c r="D36" s="45">
        <v>3708.4146000000001</v>
      </c>
      <c r="E36" s="45">
        <v>5354.3479104215257</v>
      </c>
      <c r="F36" s="45">
        <v>573.15775000000008</v>
      </c>
      <c r="G36" s="45">
        <v>451.73277075936528</v>
      </c>
      <c r="H36" s="46">
        <v>0.4438374583094149</v>
      </c>
      <c r="I36" s="46">
        <v>-0.21185263435875168</v>
      </c>
      <c r="J36" s="46">
        <v>0.35606272802581285</v>
      </c>
    </row>
    <row r="37" spans="1:10" ht="11.25" customHeight="1" x14ac:dyDescent="0.2">
      <c r="A37" s="55">
        <v>44470</v>
      </c>
      <c r="B37" s="45">
        <v>0</v>
      </c>
      <c r="C37" s="45">
        <v>0</v>
      </c>
      <c r="D37" s="45">
        <v>3446.5519199999999</v>
      </c>
      <c r="E37" s="45">
        <v>4976.2607641042341</v>
      </c>
      <c r="F37" s="45">
        <v>532.68529999999998</v>
      </c>
      <c r="G37" s="45">
        <v>419.83451591081808</v>
      </c>
      <c r="H37" s="46">
        <v>0.44383745830941512</v>
      </c>
      <c r="I37" s="46">
        <v>-0.21185263435875157</v>
      </c>
      <c r="J37" s="46">
        <v>0.35606272802581307</v>
      </c>
    </row>
    <row r="38" spans="1:10" ht="11.25" customHeight="1" x14ac:dyDescent="0.2">
      <c r="A38" s="55">
        <v>44501</v>
      </c>
      <c r="B38" s="45">
        <v>0</v>
      </c>
      <c r="C38" s="45">
        <v>0</v>
      </c>
      <c r="D38" s="45">
        <v>3890.3072399999996</v>
      </c>
      <c r="E38" s="45">
        <v>5616.971317444315</v>
      </c>
      <c r="F38" s="45">
        <v>601.27035000000001</v>
      </c>
      <c r="G38" s="45">
        <v>473.88964239069139</v>
      </c>
      <c r="H38" s="46">
        <v>0.44383745830941512</v>
      </c>
      <c r="I38" s="46">
        <v>-0.21185263435875157</v>
      </c>
      <c r="J38" s="46">
        <v>0.35606272802581307</v>
      </c>
    </row>
    <row r="39" spans="1:10" ht="11.25" customHeight="1" x14ac:dyDescent="0.2">
      <c r="A39" s="55">
        <v>44531</v>
      </c>
      <c r="B39" s="45">
        <v>0</v>
      </c>
      <c r="C39" s="45">
        <v>0</v>
      </c>
      <c r="D39" s="45">
        <v>5066.3372399999998</v>
      </c>
      <c r="E39" s="45">
        <v>7314.9674835399355</v>
      </c>
      <c r="F39" s="45">
        <v>783.03284999999994</v>
      </c>
      <c r="G39" s="45">
        <v>617.14527793805883</v>
      </c>
      <c r="H39" s="46">
        <v>0.4438374583094149</v>
      </c>
      <c r="I39" s="46">
        <v>-0.21185263435875157</v>
      </c>
      <c r="J39" s="46">
        <v>0.35606272802581307</v>
      </c>
    </row>
    <row r="40" spans="1:10" ht="11.25" customHeight="1" x14ac:dyDescent="0.2">
      <c r="A40" s="55">
        <v>44562</v>
      </c>
      <c r="B40" s="45">
        <v>0</v>
      </c>
      <c r="C40" s="45">
        <v>0</v>
      </c>
      <c r="D40" s="45">
        <v>5119.6505999999999</v>
      </c>
      <c r="E40" s="45">
        <v>7391.9433097362717</v>
      </c>
      <c r="F40" s="45">
        <v>791.27274999999997</v>
      </c>
      <c r="G40" s="45">
        <v>623.63953341620618</v>
      </c>
      <c r="H40" s="46">
        <v>0.44383745830941512</v>
      </c>
      <c r="I40" s="46">
        <v>-0.21185263435875157</v>
      </c>
      <c r="J40" s="46">
        <v>0.35606272802581307</v>
      </c>
    </row>
    <row r="41" spans="1:10" ht="11.25" customHeight="1" x14ac:dyDescent="0.2">
      <c r="A41" s="55">
        <v>44593</v>
      </c>
      <c r="B41" s="45">
        <v>0</v>
      </c>
      <c r="C41" s="45">
        <v>0</v>
      </c>
      <c r="D41" s="45">
        <v>4790.3622000000005</v>
      </c>
      <c r="E41" s="45">
        <v>6916.5043832294978</v>
      </c>
      <c r="F41" s="45">
        <v>740.37925000000007</v>
      </c>
      <c r="G41" s="45">
        <v>583.52795546294328</v>
      </c>
      <c r="H41" s="46">
        <v>0.4438374583094149</v>
      </c>
      <c r="I41" s="46">
        <v>-0.21185263435875168</v>
      </c>
      <c r="J41" s="46">
        <v>0.35606272802581307</v>
      </c>
    </row>
    <row r="42" spans="1:10" ht="11.25" customHeight="1" x14ac:dyDescent="0.2">
      <c r="A42" s="55">
        <v>44621</v>
      </c>
      <c r="B42" s="45">
        <v>0</v>
      </c>
      <c r="C42" s="45">
        <v>0</v>
      </c>
      <c r="D42" s="45">
        <v>4425.0088800000003</v>
      </c>
      <c r="E42" s="45">
        <v>6388.9935742957905</v>
      </c>
      <c r="F42" s="45">
        <v>683.9117</v>
      </c>
      <c r="G42" s="45">
        <v>539.02320468622781</v>
      </c>
      <c r="H42" s="46">
        <v>0.44383745830941468</v>
      </c>
      <c r="I42" s="46">
        <v>-0.21185263435875157</v>
      </c>
      <c r="J42" s="46">
        <v>0.35606272802581285</v>
      </c>
    </row>
    <row r="43" spans="1:10" ht="11.25" customHeight="1" x14ac:dyDescent="0.2">
      <c r="A43" s="55">
        <v>44652</v>
      </c>
      <c r="B43" s="45">
        <v>0</v>
      </c>
      <c r="C43" s="45">
        <v>0</v>
      </c>
      <c r="D43" s="45">
        <v>4037.703</v>
      </c>
      <c r="E43" s="45">
        <v>5829.7868369282996</v>
      </c>
      <c r="F43" s="45">
        <v>624.05124999999998</v>
      </c>
      <c r="G43" s="45">
        <v>491.84434871262818</v>
      </c>
      <c r="H43" s="46">
        <v>0.4438374583094149</v>
      </c>
      <c r="I43" s="46">
        <v>-0.21185263435875146</v>
      </c>
      <c r="J43" s="46">
        <v>0.35606272802581285</v>
      </c>
    </row>
    <row r="44" spans="1:10" ht="11.25" customHeight="1" x14ac:dyDescent="0.2">
      <c r="A44" s="55">
        <v>44682</v>
      </c>
      <c r="B44" s="45">
        <v>0</v>
      </c>
      <c r="C44" s="45">
        <v>0</v>
      </c>
      <c r="D44" s="45">
        <v>4022.0225999999998</v>
      </c>
      <c r="E44" s="45">
        <v>5807.1468880470247</v>
      </c>
      <c r="F44" s="45">
        <v>621.62774999999999</v>
      </c>
      <c r="G44" s="45">
        <v>489.93427357199653</v>
      </c>
      <c r="H44" s="46">
        <v>0.44383745830941512</v>
      </c>
      <c r="I44" s="46">
        <v>-0.21185263435875168</v>
      </c>
      <c r="J44" s="46">
        <v>0.35606272802581307</v>
      </c>
    </row>
    <row r="45" spans="1:10" ht="11.25" customHeight="1" x14ac:dyDescent="0.2">
      <c r="A45" s="55">
        <v>44713</v>
      </c>
      <c r="B45" s="45">
        <v>0</v>
      </c>
      <c r="C45" s="45">
        <v>0</v>
      </c>
      <c r="D45" s="45">
        <v>3625.3084799999997</v>
      </c>
      <c r="E45" s="45">
        <v>5234.3561813507677</v>
      </c>
      <c r="F45" s="45">
        <v>560.31319999999994</v>
      </c>
      <c r="G45" s="45">
        <v>441.60937251401793</v>
      </c>
      <c r="H45" s="46">
        <v>0.4438374583094149</v>
      </c>
      <c r="I45" s="46">
        <v>-0.21185263435875157</v>
      </c>
      <c r="J45" s="46">
        <v>0.35606272802581307</v>
      </c>
    </row>
    <row r="46" spans="1:10" ht="11.25" customHeight="1" x14ac:dyDescent="0.2">
      <c r="A46" s="55">
        <v>44743</v>
      </c>
      <c r="B46" s="45">
        <v>0</v>
      </c>
      <c r="C46" s="45">
        <v>0</v>
      </c>
      <c r="D46" s="45">
        <v>3771.1361999999995</v>
      </c>
      <c r="E46" s="45">
        <v>5444.9077059466254</v>
      </c>
      <c r="F46" s="45">
        <v>582.85174999999992</v>
      </c>
      <c r="G46" s="45">
        <v>459.37307132189147</v>
      </c>
      <c r="H46" s="46">
        <v>0.44383745830941512</v>
      </c>
      <c r="I46" s="46">
        <v>-0.21185263435875157</v>
      </c>
      <c r="J46" s="46">
        <v>0.35606272802581285</v>
      </c>
    </row>
    <row r="47" spans="1:10" ht="11.25" customHeight="1" x14ac:dyDescent="0.2">
      <c r="A47" s="55">
        <v>44774</v>
      </c>
      <c r="B47" s="45">
        <v>0</v>
      </c>
      <c r="C47" s="45">
        <v>0</v>
      </c>
      <c r="D47" s="45">
        <v>3771.1361999999995</v>
      </c>
      <c r="E47" s="45">
        <v>5444.9077059466254</v>
      </c>
      <c r="F47" s="45">
        <v>582.85174999999992</v>
      </c>
      <c r="G47" s="45">
        <v>459.37307132189147</v>
      </c>
      <c r="H47" s="46">
        <v>0.44383745830941512</v>
      </c>
      <c r="I47" s="46">
        <v>-0.21185263435875157</v>
      </c>
      <c r="J47" s="46">
        <v>0.35606272802581285</v>
      </c>
    </row>
    <row r="48" spans="1:10" ht="11.25" customHeight="1" x14ac:dyDescent="0.2">
      <c r="A48" s="50" t="s">
        <v>34</v>
      </c>
      <c r="B48" s="45">
        <v>1500251.2199999997</v>
      </c>
      <c r="C48" s="45">
        <v>2124420.5052349153</v>
      </c>
      <c r="D48" s="45">
        <v>3816234.4002299993</v>
      </c>
      <c r="E48" s="45">
        <v>5500698.2087918101</v>
      </c>
      <c r="F48" s="45">
        <v>5962702.8174000001</v>
      </c>
      <c r="G48" s="45">
        <v>4699488.51763546</v>
      </c>
      <c r="H48" s="46">
        <v>0.43424044730075884</v>
      </c>
      <c r="I48" s="46">
        <v>-0.21185263435875157</v>
      </c>
      <c r="J48" s="46">
        <v>9.2685639557579025E-2</v>
      </c>
    </row>
    <row r="49" spans="1:10" ht="11.25" customHeight="1" x14ac:dyDescent="0.2">
      <c r="A49" s="51" t="s">
        <v>25</v>
      </c>
      <c r="B49" s="45">
        <v>1500251.2199999997</v>
      </c>
      <c r="C49" s="45">
        <v>2124420.5052349153</v>
      </c>
      <c r="D49" s="45">
        <v>3816234.4002299993</v>
      </c>
      <c r="E49" s="45">
        <v>5500698.2087918101</v>
      </c>
      <c r="F49" s="45">
        <v>5962702.8174000001</v>
      </c>
      <c r="G49" s="45">
        <v>4699488.51763546</v>
      </c>
      <c r="H49" s="46">
        <v>0.43424044730075884</v>
      </c>
      <c r="I49" s="46">
        <v>-0.21185263435875157</v>
      </c>
      <c r="J49" s="46">
        <v>9.2685639557579025E-2</v>
      </c>
    </row>
    <row r="50" spans="1:10" ht="11.25" customHeight="1" x14ac:dyDescent="0.2">
      <c r="A50" s="52" t="s">
        <v>25</v>
      </c>
      <c r="B50" s="45">
        <v>1500251.2199999997</v>
      </c>
      <c r="C50" s="45">
        <v>2124420.5052349153</v>
      </c>
      <c r="D50" s="45">
        <v>3816234.4002299993</v>
      </c>
      <c r="E50" s="45">
        <v>5500698.2087918101</v>
      </c>
      <c r="F50" s="45">
        <v>5962702.8174000001</v>
      </c>
      <c r="G50" s="45">
        <v>4699488.51763546</v>
      </c>
      <c r="H50" s="46">
        <v>0.43424044730075884</v>
      </c>
      <c r="I50" s="46">
        <v>-0.21185263435875157</v>
      </c>
      <c r="J50" s="46">
        <v>9.2685639557579025E-2</v>
      </c>
    </row>
    <row r="51" spans="1:10" ht="11.25" customHeight="1" x14ac:dyDescent="0.2">
      <c r="A51" s="53" t="s">
        <v>25</v>
      </c>
      <c r="B51" s="45">
        <v>1500251.2199999997</v>
      </c>
      <c r="C51" s="45">
        <v>2124420.5052349153</v>
      </c>
      <c r="D51" s="45">
        <v>3816234.4002299993</v>
      </c>
      <c r="E51" s="45">
        <v>5500698.2087918101</v>
      </c>
      <c r="F51" s="45">
        <v>5962702.8174000001</v>
      </c>
      <c r="G51" s="45">
        <v>4699488.51763546</v>
      </c>
      <c r="H51" s="46">
        <v>0.43424044730075884</v>
      </c>
      <c r="I51" s="46">
        <v>-0.21185263435875157</v>
      </c>
      <c r="J51" s="46">
        <v>9.2685639557579025E-2</v>
      </c>
    </row>
    <row r="52" spans="1:10" ht="11.25" customHeight="1" x14ac:dyDescent="0.2">
      <c r="A52" s="54" t="s">
        <v>38</v>
      </c>
      <c r="B52" s="45">
        <v>0</v>
      </c>
      <c r="C52" s="45">
        <v>0</v>
      </c>
      <c r="D52" s="45">
        <v>1424153.31531</v>
      </c>
      <c r="E52" s="45">
        <v>2046921.9350708874</v>
      </c>
      <c r="F52" s="45">
        <v>5592992.3183500003</v>
      </c>
      <c r="G52" s="45">
        <v>4408102.1617592908</v>
      </c>
      <c r="H52" s="46">
        <v>0.43729043289508995</v>
      </c>
      <c r="I52" s="46">
        <v>-0.21185263435875168</v>
      </c>
      <c r="J52" s="46">
        <v>-8.0106864838806358E-2</v>
      </c>
    </row>
    <row r="53" spans="1:10" ht="11.25" customHeight="1" x14ac:dyDescent="0.2">
      <c r="A53" s="55">
        <v>44440</v>
      </c>
      <c r="B53" s="45">
        <v>0</v>
      </c>
      <c r="C53" s="45">
        <v>0</v>
      </c>
      <c r="D53" s="45">
        <v>91212.995609999998</v>
      </c>
      <c r="E53" s="45">
        <v>131099.56594595482</v>
      </c>
      <c r="F53" s="45">
        <v>358215.35384999996</v>
      </c>
      <c r="G53" s="45">
        <v>282326.48746912513</v>
      </c>
      <c r="H53" s="46">
        <v>0.43729043289508973</v>
      </c>
      <c r="I53" s="46">
        <v>-0.21185263435875146</v>
      </c>
      <c r="J53" s="46">
        <v>-8.0106864838806247E-2</v>
      </c>
    </row>
    <row r="54" spans="1:10" ht="11.25" customHeight="1" x14ac:dyDescent="0.2">
      <c r="A54" s="55">
        <v>44470</v>
      </c>
      <c r="B54" s="45">
        <v>0</v>
      </c>
      <c r="C54" s="45">
        <v>0</v>
      </c>
      <c r="D54" s="45">
        <v>91881.808590000001</v>
      </c>
      <c r="E54" s="45">
        <v>132060.8444435049</v>
      </c>
      <c r="F54" s="45">
        <v>360841.94315000001</v>
      </c>
      <c r="G54" s="45">
        <v>284396.62690654164</v>
      </c>
      <c r="H54" s="46">
        <v>0.43729043289508995</v>
      </c>
      <c r="I54" s="46">
        <v>-0.21185263435875157</v>
      </c>
      <c r="J54" s="46">
        <v>-8.0106864838806136E-2</v>
      </c>
    </row>
    <row r="55" spans="1:10" ht="11.25" customHeight="1" x14ac:dyDescent="0.2">
      <c r="A55" s="55">
        <v>44501</v>
      </c>
      <c r="B55" s="45">
        <v>0</v>
      </c>
      <c r="C55" s="45">
        <v>0</v>
      </c>
      <c r="D55" s="45">
        <v>94016.480909999998</v>
      </c>
      <c r="E55" s="45">
        <v>135128.98854640685</v>
      </c>
      <c r="F55" s="45">
        <v>369225.31435</v>
      </c>
      <c r="G55" s="45">
        <v>291003.9588330143</v>
      </c>
      <c r="H55" s="46">
        <v>0.43729043289508995</v>
      </c>
      <c r="I55" s="46">
        <v>-0.21185263435875168</v>
      </c>
      <c r="J55" s="46">
        <v>-8.0106864838806358E-2</v>
      </c>
    </row>
    <row r="56" spans="1:10" ht="11.25" customHeight="1" x14ac:dyDescent="0.2">
      <c r="A56" s="55">
        <v>44531</v>
      </c>
      <c r="B56" s="45">
        <v>0</v>
      </c>
      <c r="C56" s="45">
        <v>0</v>
      </c>
      <c r="D56" s="45">
        <v>98136.48735000001</v>
      </c>
      <c r="E56" s="45">
        <v>141050.63438608503</v>
      </c>
      <c r="F56" s="45">
        <v>385405.56975000002</v>
      </c>
      <c r="G56" s="45">
        <v>303756.38450192695</v>
      </c>
      <c r="H56" s="46">
        <v>0.43729043289508995</v>
      </c>
      <c r="I56" s="46">
        <v>-0.21185263435875157</v>
      </c>
      <c r="J56" s="46">
        <v>-8.0106864838806247E-2</v>
      </c>
    </row>
    <row r="57" spans="1:10" ht="11.25" customHeight="1" x14ac:dyDescent="0.2">
      <c r="A57" s="55">
        <v>44562</v>
      </c>
      <c r="B57" s="45">
        <v>0</v>
      </c>
      <c r="C57" s="45">
        <v>0</v>
      </c>
      <c r="D57" s="45">
        <v>105234.24813000001</v>
      </c>
      <c r="E57" s="45">
        <v>151252.178050157</v>
      </c>
      <c r="F57" s="45">
        <v>413280.18205</v>
      </c>
      <c r="G57" s="45">
        <v>325725.6867544431</v>
      </c>
      <c r="H57" s="46">
        <v>0.43729043289508973</v>
      </c>
      <c r="I57" s="46">
        <v>-0.21185263435875146</v>
      </c>
      <c r="J57" s="46">
        <v>-8.0106864838806247E-2</v>
      </c>
    </row>
    <row r="58" spans="1:10" ht="11.25" customHeight="1" x14ac:dyDescent="0.2">
      <c r="A58" s="55">
        <v>44593</v>
      </c>
      <c r="B58" s="45">
        <v>0</v>
      </c>
      <c r="C58" s="45">
        <v>0</v>
      </c>
      <c r="D58" s="45">
        <v>121745.74599</v>
      </c>
      <c r="E58" s="45">
        <v>174983.99595710274</v>
      </c>
      <c r="F58" s="45">
        <v>478124.80214999994</v>
      </c>
      <c r="G58" s="45">
        <v>376832.80326226557</v>
      </c>
      <c r="H58" s="46">
        <v>0.43729043289508995</v>
      </c>
      <c r="I58" s="46">
        <v>-0.21185263435875157</v>
      </c>
      <c r="J58" s="46">
        <v>-8.0106864838806469E-2</v>
      </c>
    </row>
    <row r="59" spans="1:10" ht="11.25" customHeight="1" x14ac:dyDescent="0.2">
      <c r="A59" s="55">
        <v>44621</v>
      </c>
      <c r="B59" s="45">
        <v>0</v>
      </c>
      <c r="C59" s="45">
        <v>0</v>
      </c>
      <c r="D59" s="45">
        <v>167264.64645</v>
      </c>
      <c r="E59" s="45">
        <v>240407.87610416464</v>
      </c>
      <c r="F59" s="45">
        <v>656888.46324999991</v>
      </c>
      <c r="G59" s="45">
        <v>517724.91183061549</v>
      </c>
      <c r="H59" s="46">
        <v>0.43729043289508973</v>
      </c>
      <c r="I59" s="46">
        <v>-0.21185263435875157</v>
      </c>
      <c r="J59" s="46">
        <v>-8.0106864838806247E-2</v>
      </c>
    </row>
    <row r="60" spans="1:10" ht="11.25" customHeight="1" x14ac:dyDescent="0.2">
      <c r="A60" s="55">
        <v>44652</v>
      </c>
      <c r="B60" s="45">
        <v>0</v>
      </c>
      <c r="C60" s="45">
        <v>0</v>
      </c>
      <c r="D60" s="45">
        <v>143938.82183999999</v>
      </c>
      <c r="E60" s="45">
        <v>206881.89155282281</v>
      </c>
      <c r="F60" s="45">
        <v>565282.34439999994</v>
      </c>
      <c r="G60" s="45">
        <v>445525.79058236891</v>
      </c>
      <c r="H60" s="46">
        <v>0.43729043289508995</v>
      </c>
      <c r="I60" s="46">
        <v>-0.21185263435875157</v>
      </c>
      <c r="J60" s="46">
        <v>-8.0106864838806247E-2</v>
      </c>
    </row>
    <row r="61" spans="1:10" ht="11.25" customHeight="1" x14ac:dyDescent="0.2">
      <c r="A61" s="55">
        <v>44682</v>
      </c>
      <c r="B61" s="45">
        <v>0</v>
      </c>
      <c r="C61" s="45">
        <v>0</v>
      </c>
      <c r="D61" s="45">
        <v>139744.14630000002</v>
      </c>
      <c r="E61" s="45">
        <v>200852.9245300818</v>
      </c>
      <c r="F61" s="45">
        <v>548808.84550000005</v>
      </c>
      <c r="G61" s="45">
        <v>432542.24582143995</v>
      </c>
      <c r="H61" s="46">
        <v>0.43729043289508995</v>
      </c>
      <c r="I61" s="46">
        <v>-0.21185263435875157</v>
      </c>
      <c r="J61" s="46">
        <v>-8.0106864838806247E-2</v>
      </c>
    </row>
    <row r="62" spans="1:10" ht="11.25" customHeight="1" x14ac:dyDescent="0.2">
      <c r="A62" s="55">
        <v>44713</v>
      </c>
      <c r="B62" s="45">
        <v>0</v>
      </c>
      <c r="C62" s="45">
        <v>0</v>
      </c>
      <c r="D62" s="45">
        <v>125779.17330000001</v>
      </c>
      <c r="E62" s="45">
        <v>180781.20244154354</v>
      </c>
      <c r="F62" s="45">
        <v>493965.0405</v>
      </c>
      <c r="G62" s="45">
        <v>389317.2453889476</v>
      </c>
      <c r="H62" s="46">
        <v>0.43729043289508995</v>
      </c>
      <c r="I62" s="46">
        <v>-0.21185263435875157</v>
      </c>
      <c r="J62" s="46">
        <v>-8.0106864838806358E-2</v>
      </c>
    </row>
    <row r="63" spans="1:10" ht="11.25" customHeight="1" x14ac:dyDescent="0.2">
      <c r="A63" s="55">
        <v>44743</v>
      </c>
      <c r="B63" s="45">
        <v>0</v>
      </c>
      <c r="C63" s="45">
        <v>0</v>
      </c>
      <c r="D63" s="45">
        <v>122599.38042</v>
      </c>
      <c r="E63" s="45">
        <v>176210.91655653159</v>
      </c>
      <c r="F63" s="45">
        <v>481477.22969999997</v>
      </c>
      <c r="G63" s="45">
        <v>379475.01020430122</v>
      </c>
      <c r="H63" s="46">
        <v>0.43729043289508973</v>
      </c>
      <c r="I63" s="46">
        <v>-0.21185263435875157</v>
      </c>
      <c r="J63" s="46">
        <v>-8.0106864838806358E-2</v>
      </c>
    </row>
    <row r="64" spans="1:10" ht="11.25" customHeight="1" x14ac:dyDescent="0.2">
      <c r="A64" s="55">
        <v>44774</v>
      </c>
      <c r="B64" s="45">
        <v>0</v>
      </c>
      <c r="C64" s="45">
        <v>0</v>
      </c>
      <c r="D64" s="45">
        <v>122599.38042</v>
      </c>
      <c r="E64" s="45">
        <v>176210.91655653159</v>
      </c>
      <c r="F64" s="45">
        <v>481477.22969999997</v>
      </c>
      <c r="G64" s="45">
        <v>379475.01020430122</v>
      </c>
      <c r="H64" s="46">
        <v>0.43729043289508973</v>
      </c>
      <c r="I64" s="46">
        <v>-0.21185263435875157</v>
      </c>
      <c r="J64" s="46">
        <v>-8.0106864838806358E-2</v>
      </c>
    </row>
    <row r="65" spans="1:10" ht="11.25" customHeight="1" x14ac:dyDescent="0.2">
      <c r="A65" s="54" t="s">
        <v>25</v>
      </c>
      <c r="B65" s="45">
        <v>1500251.2199999997</v>
      </c>
      <c r="C65" s="45">
        <v>2124420.5052349153</v>
      </c>
      <c r="D65" s="45">
        <v>0</v>
      </c>
      <c r="E65" s="45">
        <v>0</v>
      </c>
      <c r="F65" s="45">
        <v>0</v>
      </c>
      <c r="G65" s="45">
        <v>0</v>
      </c>
      <c r="H65" s="46">
        <v>0.41604317791184053</v>
      </c>
      <c r="I65" s="46">
        <v>0</v>
      </c>
      <c r="J65" s="46">
        <v>0.41604317791184053</v>
      </c>
    </row>
    <row r="66" spans="1:10" ht="11.25" customHeight="1" x14ac:dyDescent="0.2">
      <c r="A66" s="55">
        <v>44440</v>
      </c>
      <c r="B66" s="45">
        <v>113302.79999999999</v>
      </c>
      <c r="C66" s="45">
        <v>160441.65697830965</v>
      </c>
      <c r="D66" s="45">
        <v>0</v>
      </c>
      <c r="E66" s="45">
        <v>0</v>
      </c>
      <c r="F66" s="45">
        <v>0</v>
      </c>
      <c r="G66" s="45">
        <v>0</v>
      </c>
      <c r="H66" s="46">
        <v>0.41604317791184031</v>
      </c>
      <c r="I66" s="46">
        <v>0</v>
      </c>
      <c r="J66" s="46">
        <v>0.41604317791184031</v>
      </c>
    </row>
    <row r="67" spans="1:10" ht="11.25" customHeight="1" x14ac:dyDescent="0.2">
      <c r="A67" s="55">
        <v>44470</v>
      </c>
      <c r="B67" s="45">
        <v>108795.95999999999</v>
      </c>
      <c r="C67" s="45">
        <v>154059.77694236944</v>
      </c>
      <c r="D67" s="45">
        <v>0</v>
      </c>
      <c r="E67" s="45">
        <v>0</v>
      </c>
      <c r="F67" s="45">
        <v>0</v>
      </c>
      <c r="G67" s="45">
        <v>0</v>
      </c>
      <c r="H67" s="46">
        <v>0.41604317791184031</v>
      </c>
      <c r="I67" s="46">
        <v>0</v>
      </c>
      <c r="J67" s="46">
        <v>0.41604317791184031</v>
      </c>
    </row>
    <row r="68" spans="1:10" ht="11.25" customHeight="1" x14ac:dyDescent="0.2">
      <c r="A68" s="55">
        <v>44501</v>
      </c>
      <c r="B68" s="45">
        <v>113702.93999999999</v>
      </c>
      <c r="C68" s="45">
        <v>161008.27249551928</v>
      </c>
      <c r="D68" s="45">
        <v>0</v>
      </c>
      <c r="E68" s="45">
        <v>0</v>
      </c>
      <c r="F68" s="45">
        <v>0</v>
      </c>
      <c r="G68" s="45">
        <v>0</v>
      </c>
      <c r="H68" s="46">
        <v>0.41604317791184031</v>
      </c>
      <c r="I68" s="46">
        <v>0</v>
      </c>
      <c r="J68" s="46">
        <v>0.41604317791184031</v>
      </c>
    </row>
    <row r="69" spans="1:10" ht="11.25" customHeight="1" x14ac:dyDescent="0.2">
      <c r="A69" s="55">
        <v>44531</v>
      </c>
      <c r="B69" s="45">
        <v>104036.4</v>
      </c>
      <c r="C69" s="45">
        <v>147320.03447450738</v>
      </c>
      <c r="D69" s="45">
        <v>0</v>
      </c>
      <c r="E69" s="45">
        <v>0</v>
      </c>
      <c r="F69" s="45">
        <v>0</v>
      </c>
      <c r="G69" s="45">
        <v>0</v>
      </c>
      <c r="H69" s="46">
        <v>0.41604317791184031</v>
      </c>
      <c r="I69" s="46">
        <v>0</v>
      </c>
      <c r="J69" s="46">
        <v>0.41604317791184031</v>
      </c>
    </row>
    <row r="70" spans="1:10" ht="11.25" customHeight="1" x14ac:dyDescent="0.2">
      <c r="A70" s="55">
        <v>44562</v>
      </c>
      <c r="B70" s="45">
        <v>110733.48</v>
      </c>
      <c r="C70" s="45">
        <v>156803.3889204372</v>
      </c>
      <c r="D70" s="45">
        <v>0</v>
      </c>
      <c r="E70" s="45">
        <v>0</v>
      </c>
      <c r="F70" s="45">
        <v>0</v>
      </c>
      <c r="G70" s="45">
        <v>0</v>
      </c>
      <c r="H70" s="46">
        <v>0.41604317791184031</v>
      </c>
      <c r="I70" s="46">
        <v>0</v>
      </c>
      <c r="J70" s="46">
        <v>0.41604317791184031</v>
      </c>
    </row>
    <row r="71" spans="1:10" ht="11.25" customHeight="1" x14ac:dyDescent="0.2">
      <c r="A71" s="55">
        <v>44593</v>
      </c>
      <c r="B71" s="45">
        <v>120758.04</v>
      </c>
      <c r="C71" s="45">
        <v>170998.5987200051</v>
      </c>
      <c r="D71" s="45">
        <v>0</v>
      </c>
      <c r="E71" s="45">
        <v>0</v>
      </c>
      <c r="F71" s="45">
        <v>0</v>
      </c>
      <c r="G71" s="45">
        <v>0</v>
      </c>
      <c r="H71" s="46">
        <v>0.41604317791184009</v>
      </c>
      <c r="I71" s="46">
        <v>0</v>
      </c>
      <c r="J71" s="46">
        <v>0.41604317791184009</v>
      </c>
    </row>
    <row r="72" spans="1:10" ht="11.25" customHeight="1" x14ac:dyDescent="0.2">
      <c r="A72" s="55">
        <v>44621</v>
      </c>
      <c r="B72" s="45">
        <v>135163.07999999999</v>
      </c>
      <c r="C72" s="45">
        <v>191396.75733955228</v>
      </c>
      <c r="D72" s="45">
        <v>0</v>
      </c>
      <c r="E72" s="45">
        <v>0</v>
      </c>
      <c r="F72" s="45">
        <v>0</v>
      </c>
      <c r="G72" s="45">
        <v>0</v>
      </c>
      <c r="H72" s="46">
        <v>0.41604317791184031</v>
      </c>
      <c r="I72" s="46">
        <v>0</v>
      </c>
      <c r="J72" s="46">
        <v>0.41604317791184031</v>
      </c>
    </row>
    <row r="73" spans="1:10" ht="11.25" customHeight="1" x14ac:dyDescent="0.2">
      <c r="A73" s="55">
        <v>44652</v>
      </c>
      <c r="B73" s="45">
        <v>143629.19999999998</v>
      </c>
      <c r="C73" s="45">
        <v>203385.14880893528</v>
      </c>
      <c r="D73" s="45">
        <v>0</v>
      </c>
      <c r="E73" s="45">
        <v>0</v>
      </c>
      <c r="F73" s="45">
        <v>0</v>
      </c>
      <c r="G73" s="45">
        <v>0</v>
      </c>
      <c r="H73" s="46">
        <v>0.41604317791184031</v>
      </c>
      <c r="I73" s="46">
        <v>0</v>
      </c>
      <c r="J73" s="46">
        <v>0.41604317791184031</v>
      </c>
    </row>
    <row r="74" spans="1:10" ht="11.25" customHeight="1" x14ac:dyDescent="0.2">
      <c r="A74" s="55">
        <v>44682</v>
      </c>
      <c r="B74" s="45">
        <v>142407.72</v>
      </c>
      <c r="C74" s="45">
        <v>201655.48038797951</v>
      </c>
      <c r="D74" s="45">
        <v>0</v>
      </c>
      <c r="E74" s="45">
        <v>0</v>
      </c>
      <c r="F74" s="45">
        <v>0</v>
      </c>
      <c r="G74" s="45">
        <v>0</v>
      </c>
      <c r="H74" s="46">
        <v>0.41604317791184009</v>
      </c>
      <c r="I74" s="46">
        <v>0</v>
      </c>
      <c r="J74" s="46">
        <v>0.41604317791184009</v>
      </c>
    </row>
    <row r="75" spans="1:10" ht="11.25" customHeight="1" x14ac:dyDescent="0.2">
      <c r="A75" s="55">
        <v>44713</v>
      </c>
      <c r="B75" s="45">
        <v>142239.24</v>
      </c>
      <c r="C75" s="45">
        <v>201416.90543336494</v>
      </c>
      <c r="D75" s="45">
        <v>0</v>
      </c>
      <c r="E75" s="45">
        <v>0</v>
      </c>
      <c r="F75" s="45">
        <v>0</v>
      </c>
      <c r="G75" s="45">
        <v>0</v>
      </c>
      <c r="H75" s="46">
        <v>0.41604317791184031</v>
      </c>
      <c r="I75" s="46">
        <v>0</v>
      </c>
      <c r="J75" s="46">
        <v>0.41604317791184031</v>
      </c>
    </row>
    <row r="76" spans="1:10" ht="11.25" customHeight="1" x14ac:dyDescent="0.2">
      <c r="A76" s="55">
        <v>44743</v>
      </c>
      <c r="B76" s="45">
        <v>132741.18</v>
      </c>
      <c r="C76" s="45">
        <v>187967.24236696761</v>
      </c>
      <c r="D76" s="45">
        <v>0</v>
      </c>
      <c r="E76" s="45">
        <v>0</v>
      </c>
      <c r="F76" s="45">
        <v>0</v>
      </c>
      <c r="G76" s="45">
        <v>0</v>
      </c>
      <c r="H76" s="46">
        <v>0.41604317791184031</v>
      </c>
      <c r="I76" s="46">
        <v>0</v>
      </c>
      <c r="J76" s="46">
        <v>0.41604317791184031</v>
      </c>
    </row>
    <row r="77" spans="1:10" ht="11.25" customHeight="1" x14ac:dyDescent="0.2">
      <c r="A77" s="55">
        <v>44774</v>
      </c>
      <c r="B77" s="45">
        <v>132741.18</v>
      </c>
      <c r="C77" s="45">
        <v>187967.24236696761</v>
      </c>
      <c r="D77" s="45">
        <v>0</v>
      </c>
      <c r="E77" s="45">
        <v>0</v>
      </c>
      <c r="F77" s="45">
        <v>0</v>
      </c>
      <c r="G77" s="45">
        <v>0</v>
      </c>
      <c r="H77" s="46">
        <v>0.41604317791184031</v>
      </c>
      <c r="I77" s="46">
        <v>0</v>
      </c>
      <c r="J77" s="46">
        <v>0.41604317791184031</v>
      </c>
    </row>
    <row r="78" spans="1:10" ht="11.25" customHeight="1" x14ac:dyDescent="0.2">
      <c r="A78" s="54" t="s">
        <v>37</v>
      </c>
      <c r="B78" s="45">
        <v>0</v>
      </c>
      <c r="C78" s="45">
        <v>0</v>
      </c>
      <c r="D78" s="45">
        <v>2392081.0849199998</v>
      </c>
      <c r="E78" s="45">
        <v>3453776.273720921</v>
      </c>
      <c r="F78" s="45">
        <v>369710.49904999998</v>
      </c>
      <c r="G78" s="45">
        <v>291386.35587616876</v>
      </c>
      <c r="H78" s="46">
        <v>0.44383745830941534</v>
      </c>
      <c r="I78" s="46">
        <v>-0.21185263435875157</v>
      </c>
      <c r="J78" s="46">
        <v>0.35606272802581307</v>
      </c>
    </row>
    <row r="79" spans="1:10" ht="11.25" customHeight="1" x14ac:dyDescent="0.2">
      <c r="A79" s="55">
        <v>44440</v>
      </c>
      <c r="B79" s="45">
        <v>0</v>
      </c>
      <c r="C79" s="45">
        <v>0</v>
      </c>
      <c r="D79" s="45">
        <v>196360.94508</v>
      </c>
      <c r="E79" s="45">
        <v>283513.2878555418</v>
      </c>
      <c r="F79" s="45">
        <v>30348.763449999999</v>
      </c>
      <c r="G79" s="45">
        <v>23919.297963586905</v>
      </c>
      <c r="H79" s="46">
        <v>0.4438374583094149</v>
      </c>
      <c r="I79" s="46">
        <v>-0.21185263435875157</v>
      </c>
      <c r="J79" s="46">
        <v>0.35606272802581307</v>
      </c>
    </row>
    <row r="80" spans="1:10" ht="11.25" customHeight="1" x14ac:dyDescent="0.2">
      <c r="A80" s="55">
        <v>44470</v>
      </c>
      <c r="B80" s="45">
        <v>0</v>
      </c>
      <c r="C80" s="45">
        <v>0</v>
      </c>
      <c r="D80" s="45">
        <v>181075.69115999999</v>
      </c>
      <c r="E80" s="45">
        <v>261443.86568607498</v>
      </c>
      <c r="F80" s="45">
        <v>27986.335650000001</v>
      </c>
      <c r="G80" s="45">
        <v>22057.356716499256</v>
      </c>
      <c r="H80" s="46">
        <v>0.4438374583094149</v>
      </c>
      <c r="I80" s="46">
        <v>-0.21185263435875157</v>
      </c>
      <c r="J80" s="46">
        <v>0.35606272802581307</v>
      </c>
    </row>
    <row r="81" spans="1:10" ht="11.25" customHeight="1" x14ac:dyDescent="0.2">
      <c r="A81" s="55">
        <v>44501</v>
      </c>
      <c r="B81" s="45">
        <v>0</v>
      </c>
      <c r="C81" s="45">
        <v>0</v>
      </c>
      <c r="D81" s="45">
        <v>185209.04459999999</v>
      </c>
      <c r="E81" s="45">
        <v>267411.75621117908</v>
      </c>
      <c r="F81" s="45">
        <v>28625.170249999999</v>
      </c>
      <c r="G81" s="45">
        <v>22560.852523569734</v>
      </c>
      <c r="H81" s="46">
        <v>0.4438374583094149</v>
      </c>
      <c r="I81" s="46">
        <v>-0.21185263435875168</v>
      </c>
      <c r="J81" s="46">
        <v>0.35606272802581307</v>
      </c>
    </row>
    <row r="82" spans="1:10" ht="11.25" customHeight="1" x14ac:dyDescent="0.2">
      <c r="A82" s="55">
        <v>44531</v>
      </c>
      <c r="B82" s="45">
        <v>0</v>
      </c>
      <c r="C82" s="45">
        <v>0</v>
      </c>
      <c r="D82" s="45">
        <v>216855.22787999999</v>
      </c>
      <c r="E82" s="45">
        <v>313103.70104336814</v>
      </c>
      <c r="F82" s="45">
        <v>33516.277949999996</v>
      </c>
      <c r="G82" s="45">
        <v>26415.766172392359</v>
      </c>
      <c r="H82" s="46">
        <v>0.4438374583094149</v>
      </c>
      <c r="I82" s="46">
        <v>-0.21185263435875157</v>
      </c>
      <c r="J82" s="46">
        <v>0.35606272802581285</v>
      </c>
    </row>
    <row r="83" spans="1:10" ht="11.25" customHeight="1" x14ac:dyDescent="0.2">
      <c r="A83" s="55">
        <v>44562</v>
      </c>
      <c r="B83" s="45">
        <v>0</v>
      </c>
      <c r="C83" s="45">
        <v>0</v>
      </c>
      <c r="D83" s="45">
        <v>235147.98251999999</v>
      </c>
      <c r="E83" s="45">
        <v>339515.4654082635</v>
      </c>
      <c r="F83" s="45">
        <v>36343.533049999998</v>
      </c>
      <c r="G83" s="45">
        <v>28644.059831453145</v>
      </c>
      <c r="H83" s="46">
        <v>0.4438374583094149</v>
      </c>
      <c r="I83" s="46">
        <v>-0.21185263435875157</v>
      </c>
      <c r="J83" s="46">
        <v>0.35606272802581285</v>
      </c>
    </row>
    <row r="84" spans="1:10" ht="11.25" customHeight="1" x14ac:dyDescent="0.2">
      <c r="A84" s="55">
        <v>44593</v>
      </c>
      <c r="B84" s="45">
        <v>0</v>
      </c>
      <c r="C84" s="45">
        <v>0</v>
      </c>
      <c r="D84" s="45">
        <v>233198.9088</v>
      </c>
      <c r="E84" s="45">
        <v>336701.31976232107</v>
      </c>
      <c r="F84" s="45">
        <v>36042.292000000001</v>
      </c>
      <c r="G84" s="45">
        <v>28406.63749147264</v>
      </c>
      <c r="H84" s="46">
        <v>0.4438374583094149</v>
      </c>
      <c r="I84" s="46">
        <v>-0.21185263435875168</v>
      </c>
      <c r="J84" s="46">
        <v>0.35606272802581307</v>
      </c>
    </row>
    <row r="85" spans="1:10" ht="11.25" customHeight="1" x14ac:dyDescent="0.2">
      <c r="A85" s="55">
        <v>44621</v>
      </c>
      <c r="B85" s="45">
        <v>0</v>
      </c>
      <c r="C85" s="45">
        <v>0</v>
      </c>
      <c r="D85" s="45">
        <v>217524.78095999997</v>
      </c>
      <c r="E85" s="45">
        <v>314070.42686059861</v>
      </c>
      <c r="F85" s="45">
        <v>33619.761399999996</v>
      </c>
      <c r="G85" s="45">
        <v>26497.326380897328</v>
      </c>
      <c r="H85" s="46">
        <v>0.44383745830941512</v>
      </c>
      <c r="I85" s="46">
        <v>-0.21185263435875157</v>
      </c>
      <c r="J85" s="46">
        <v>0.35606272802581307</v>
      </c>
    </row>
    <row r="86" spans="1:10" ht="11.25" customHeight="1" x14ac:dyDescent="0.2">
      <c r="A86" s="55">
        <v>44652</v>
      </c>
      <c r="B86" s="45">
        <v>0</v>
      </c>
      <c r="C86" s="45">
        <v>0</v>
      </c>
      <c r="D86" s="45">
        <v>179346.14304</v>
      </c>
      <c r="E86" s="45">
        <v>258946.67932447037</v>
      </c>
      <c r="F86" s="45">
        <v>27719.0236</v>
      </c>
      <c r="G86" s="45">
        <v>21846.675428487593</v>
      </c>
      <c r="H86" s="46">
        <v>0.4438374583094149</v>
      </c>
      <c r="I86" s="46">
        <v>-0.21185263435875157</v>
      </c>
      <c r="J86" s="46">
        <v>0.35606272802581285</v>
      </c>
    </row>
    <row r="87" spans="1:10" ht="11.25" customHeight="1" x14ac:dyDescent="0.2">
      <c r="A87" s="55">
        <v>44682</v>
      </c>
      <c r="B87" s="45">
        <v>0</v>
      </c>
      <c r="C87" s="45">
        <v>0</v>
      </c>
      <c r="D87" s="45">
        <v>214562.75340000002</v>
      </c>
      <c r="E87" s="45">
        <v>309793.74051692581</v>
      </c>
      <c r="F87" s="45">
        <v>33161.962250000004</v>
      </c>
      <c r="G87" s="45">
        <v>26136.513186832028</v>
      </c>
      <c r="H87" s="46">
        <v>0.4438374583094149</v>
      </c>
      <c r="I87" s="46">
        <v>-0.21185263435875168</v>
      </c>
      <c r="J87" s="46">
        <v>0.35606272802581285</v>
      </c>
    </row>
    <row r="88" spans="1:10" ht="11.25" customHeight="1" x14ac:dyDescent="0.2">
      <c r="A88" s="55">
        <v>44713</v>
      </c>
      <c r="B88" s="45">
        <v>0</v>
      </c>
      <c r="C88" s="45">
        <v>0</v>
      </c>
      <c r="D88" s="45">
        <v>172322.89188000001</v>
      </c>
      <c r="E88" s="45">
        <v>248806.24622054733</v>
      </c>
      <c r="F88" s="45">
        <v>26633.537950000002</v>
      </c>
      <c r="G88" s="45">
        <v>20991.152772998717</v>
      </c>
      <c r="H88" s="46">
        <v>0.4438374583094149</v>
      </c>
      <c r="I88" s="46">
        <v>-0.21185263435875157</v>
      </c>
      <c r="J88" s="46">
        <v>0.35606272802581285</v>
      </c>
    </row>
    <row r="89" spans="1:10" ht="11.25" customHeight="1" x14ac:dyDescent="0.2">
      <c r="A89" s="55">
        <v>44743</v>
      </c>
      <c r="B89" s="45">
        <v>0</v>
      </c>
      <c r="C89" s="45">
        <v>0</v>
      </c>
      <c r="D89" s="45">
        <v>180238.3578</v>
      </c>
      <c r="E89" s="45">
        <v>260234.89241581489</v>
      </c>
      <c r="F89" s="45">
        <v>27856.920749999997</v>
      </c>
      <c r="G89" s="45">
        <v>21955.358703989528</v>
      </c>
      <c r="H89" s="46">
        <v>0.4438374583094149</v>
      </c>
      <c r="I89" s="46">
        <v>-0.21185263435875157</v>
      </c>
      <c r="J89" s="46">
        <v>0.35606272802581285</v>
      </c>
    </row>
    <row r="90" spans="1:10" ht="11.25" customHeight="1" x14ac:dyDescent="0.2">
      <c r="A90" s="55">
        <v>44774</v>
      </c>
      <c r="B90" s="45">
        <v>0</v>
      </c>
      <c r="C90" s="45">
        <v>0</v>
      </c>
      <c r="D90" s="45">
        <v>180238.3578</v>
      </c>
      <c r="E90" s="45">
        <v>260234.89241581489</v>
      </c>
      <c r="F90" s="45">
        <v>27856.920749999997</v>
      </c>
      <c r="G90" s="45">
        <v>21955.358703989528</v>
      </c>
      <c r="H90" s="46">
        <v>0.4438374583094149</v>
      </c>
      <c r="I90" s="46">
        <v>-0.21185263435875157</v>
      </c>
      <c r="J90" s="46">
        <v>0.35606272802581285</v>
      </c>
    </row>
    <row r="91" spans="1:10" ht="11.25" customHeight="1" x14ac:dyDescent="0.2">
      <c r="A91" s="48" t="s">
        <v>22</v>
      </c>
      <c r="B91" s="45">
        <v>0</v>
      </c>
      <c r="C91" s="45">
        <v>0</v>
      </c>
      <c r="D91" s="45">
        <v>1884369.219890001</v>
      </c>
      <c r="E91" s="45">
        <v>2756625.9188178689</v>
      </c>
      <c r="F91" s="45">
        <v>1508033.7190599991</v>
      </c>
      <c r="G91" s="45">
        <v>1188553.5487735514</v>
      </c>
      <c r="H91" s="46">
        <v>0.46289054699098942</v>
      </c>
      <c r="I91" s="46">
        <v>-0.21185213980864359</v>
      </c>
      <c r="J91" s="46">
        <v>0.16294542204721441</v>
      </c>
    </row>
    <row r="92" spans="1:10" ht="11.25" customHeight="1" x14ac:dyDescent="0.2">
      <c r="A92" s="49" t="s">
        <v>23</v>
      </c>
      <c r="B92" s="45">
        <v>0</v>
      </c>
      <c r="C92" s="45">
        <v>0</v>
      </c>
      <c r="D92" s="45">
        <v>1884369.219890001</v>
      </c>
      <c r="E92" s="45">
        <v>2756625.9188178689</v>
      </c>
      <c r="F92" s="45">
        <v>1508033.7190599991</v>
      </c>
      <c r="G92" s="45">
        <v>1188553.5487735514</v>
      </c>
      <c r="H92" s="46">
        <v>0.46289054699098942</v>
      </c>
      <c r="I92" s="46">
        <v>-0.21185213980864359</v>
      </c>
      <c r="J92" s="46">
        <v>0.16294542204721441</v>
      </c>
    </row>
    <row r="93" spans="1:10" ht="11.25" customHeight="1" x14ac:dyDescent="0.2">
      <c r="A93" s="50" t="s">
        <v>24</v>
      </c>
      <c r="B93" s="45">
        <v>0</v>
      </c>
      <c r="C93" s="45">
        <v>0</v>
      </c>
      <c r="D93" s="45">
        <v>1884369.219890001</v>
      </c>
      <c r="E93" s="45">
        <v>2756625.9188178689</v>
      </c>
      <c r="F93" s="45">
        <v>1508033.7190599991</v>
      </c>
      <c r="G93" s="45">
        <v>1188553.5487735514</v>
      </c>
      <c r="H93" s="46">
        <v>0.46289054699098942</v>
      </c>
      <c r="I93" s="46">
        <v>-0.21185213980864359</v>
      </c>
      <c r="J93" s="46">
        <v>0.16294542204721441</v>
      </c>
    </row>
    <row r="94" spans="1:10" ht="11.25" customHeight="1" x14ac:dyDescent="0.2">
      <c r="A94" s="51" t="s">
        <v>24</v>
      </c>
      <c r="B94" s="45">
        <v>0</v>
      </c>
      <c r="C94" s="45">
        <v>0</v>
      </c>
      <c r="D94" s="45">
        <v>1810756.52627</v>
      </c>
      <c r="E94" s="45">
        <v>2649525.1087078014</v>
      </c>
      <c r="F94" s="45">
        <v>1433217.4275499999</v>
      </c>
      <c r="G94" s="45">
        <v>1129586.5399146592</v>
      </c>
      <c r="H94" s="46">
        <v>0.46321444670730494</v>
      </c>
      <c r="I94" s="46">
        <v>-0.21185263435875146</v>
      </c>
      <c r="J94" s="46">
        <v>0.16496362252609886</v>
      </c>
    </row>
    <row r="95" spans="1:10" ht="11.25" customHeight="1" x14ac:dyDescent="0.2">
      <c r="A95" s="52" t="s">
        <v>25</v>
      </c>
      <c r="B95" s="45">
        <v>0</v>
      </c>
      <c r="C95" s="45">
        <v>0</v>
      </c>
      <c r="D95" s="45">
        <v>1810756.52627</v>
      </c>
      <c r="E95" s="45">
        <v>2649525.1087078014</v>
      </c>
      <c r="F95" s="45">
        <v>1433217.4275499999</v>
      </c>
      <c r="G95" s="45">
        <v>1129586.5399146592</v>
      </c>
      <c r="H95" s="46">
        <v>0.46321444670730494</v>
      </c>
      <c r="I95" s="46">
        <v>-0.21185263435875146</v>
      </c>
      <c r="J95" s="46">
        <v>0.16496362252609886</v>
      </c>
    </row>
    <row r="96" spans="1:10" ht="11.25" customHeight="1" x14ac:dyDescent="0.2">
      <c r="A96" s="53" t="s">
        <v>25</v>
      </c>
      <c r="B96" s="45">
        <v>0</v>
      </c>
      <c r="C96" s="45">
        <v>0</v>
      </c>
      <c r="D96" s="45">
        <v>1810756.52627</v>
      </c>
      <c r="E96" s="45">
        <v>2649525.1087078014</v>
      </c>
      <c r="F96" s="45">
        <v>1433217.4275499999</v>
      </c>
      <c r="G96" s="45">
        <v>1129586.5399146592</v>
      </c>
      <c r="H96" s="46">
        <v>0.46321444670730494</v>
      </c>
      <c r="I96" s="46">
        <v>-0.21185263435875146</v>
      </c>
      <c r="J96" s="46">
        <v>0.16496362252609886</v>
      </c>
    </row>
    <row r="97" spans="1:10" ht="11.25" customHeight="1" x14ac:dyDescent="0.2">
      <c r="A97" s="54" t="s">
        <v>25</v>
      </c>
      <c r="B97" s="45">
        <v>0</v>
      </c>
      <c r="C97" s="45">
        <v>0</v>
      </c>
      <c r="D97" s="45">
        <v>1810756.52627</v>
      </c>
      <c r="E97" s="45">
        <v>2649525.1087078014</v>
      </c>
      <c r="F97" s="45">
        <v>1433217.4275499999</v>
      </c>
      <c r="G97" s="45">
        <v>1129586.5399146592</v>
      </c>
      <c r="H97" s="46">
        <v>0.46321444670730494</v>
      </c>
      <c r="I97" s="46">
        <v>-0.21185263435875146</v>
      </c>
      <c r="J97" s="46">
        <v>0.16496362252609886</v>
      </c>
    </row>
    <row r="98" spans="1:10" ht="11.25" customHeight="1" x14ac:dyDescent="0.2">
      <c r="A98" s="55">
        <v>44440</v>
      </c>
      <c r="B98" s="45">
        <v>0</v>
      </c>
      <c r="C98" s="45">
        <v>0</v>
      </c>
      <c r="D98" s="45">
        <v>135128.68937000001</v>
      </c>
      <c r="E98" s="45">
        <v>197722.25045080791</v>
      </c>
      <c r="F98" s="45">
        <v>106954.62905000002</v>
      </c>
      <c r="G98" s="45">
        <v>84296.009128894439</v>
      </c>
      <c r="H98" s="46">
        <v>0.4632144467073056</v>
      </c>
      <c r="I98" s="46">
        <v>-0.21185263435875168</v>
      </c>
      <c r="J98" s="46">
        <v>0.16496362252609909</v>
      </c>
    </row>
    <row r="99" spans="1:10" ht="11.25" customHeight="1" x14ac:dyDescent="0.2">
      <c r="A99" s="55">
        <v>44470</v>
      </c>
      <c r="B99" s="45">
        <v>0</v>
      </c>
      <c r="C99" s="45">
        <v>0</v>
      </c>
      <c r="D99" s="45">
        <v>139892.08720000001</v>
      </c>
      <c r="E99" s="45">
        <v>204692.12297107815</v>
      </c>
      <c r="F99" s="45">
        <v>110724.86799999999</v>
      </c>
      <c r="G99" s="45">
        <v>87267.513025174965</v>
      </c>
      <c r="H99" s="46">
        <v>0.4632144467073056</v>
      </c>
      <c r="I99" s="46">
        <v>-0.21185263435875146</v>
      </c>
      <c r="J99" s="46">
        <v>0.16496362252609931</v>
      </c>
    </row>
    <row r="100" spans="1:10" ht="11.25" customHeight="1" x14ac:dyDescent="0.2">
      <c r="A100" s="55">
        <v>44501</v>
      </c>
      <c r="B100" s="45">
        <v>0</v>
      </c>
      <c r="C100" s="45">
        <v>0</v>
      </c>
      <c r="D100" s="45">
        <v>143906.54428999999</v>
      </c>
      <c r="E100" s="45">
        <v>210566.13458085273</v>
      </c>
      <c r="F100" s="45">
        <v>113902.31885000001</v>
      </c>
      <c r="G100" s="45">
        <v>89771.812542057014</v>
      </c>
      <c r="H100" s="46">
        <v>0.46321444670730583</v>
      </c>
      <c r="I100" s="46">
        <v>-0.21185263435875168</v>
      </c>
      <c r="J100" s="46">
        <v>0.16496362252609909</v>
      </c>
    </row>
    <row r="101" spans="1:10" ht="11.25" customHeight="1" x14ac:dyDescent="0.2">
      <c r="A101" s="55">
        <v>44531</v>
      </c>
      <c r="B101" s="45">
        <v>0</v>
      </c>
      <c r="C101" s="45">
        <v>0</v>
      </c>
      <c r="D101" s="45">
        <v>144178.74719999998</v>
      </c>
      <c r="E101" s="45">
        <v>210964.42581120052</v>
      </c>
      <c r="F101" s="45">
        <v>114117.768</v>
      </c>
      <c r="G101" s="45">
        <v>89941.618222059158</v>
      </c>
      <c r="H101" s="46">
        <v>0.46321444670730605</v>
      </c>
      <c r="I101" s="46">
        <v>-0.21185263435875157</v>
      </c>
      <c r="J101" s="46">
        <v>0.16496362252609953</v>
      </c>
    </row>
    <row r="102" spans="1:10" ht="11.25" customHeight="1" x14ac:dyDescent="0.2">
      <c r="A102" s="55">
        <v>44562</v>
      </c>
      <c r="B102" s="45">
        <v>0</v>
      </c>
      <c r="C102" s="45">
        <v>0</v>
      </c>
      <c r="D102" s="45">
        <v>160027.1416</v>
      </c>
      <c r="E102" s="45">
        <v>234154.02545439565</v>
      </c>
      <c r="F102" s="45">
        <v>126661.80399999999</v>
      </c>
      <c r="G102" s="45">
        <v>99828.16714996814</v>
      </c>
      <c r="H102" s="46">
        <v>0.4632144467073056</v>
      </c>
      <c r="I102" s="46">
        <v>-0.21185263435875157</v>
      </c>
      <c r="J102" s="46">
        <v>0.16496362252609931</v>
      </c>
    </row>
    <row r="103" spans="1:10" ht="11.25" customHeight="1" x14ac:dyDescent="0.2">
      <c r="A103" s="55">
        <v>44593</v>
      </c>
      <c r="B103" s="45">
        <v>0</v>
      </c>
      <c r="C103" s="45">
        <v>0</v>
      </c>
      <c r="D103" s="45">
        <v>204193.82433999999</v>
      </c>
      <c r="E103" s="45">
        <v>298779.35370270186</v>
      </c>
      <c r="F103" s="45">
        <v>161619.82209999999</v>
      </c>
      <c r="G103" s="45">
        <v>127380.23702352222</v>
      </c>
      <c r="H103" s="46">
        <v>0.4632144467073056</v>
      </c>
      <c r="I103" s="46">
        <v>-0.21185263435875157</v>
      </c>
      <c r="J103" s="46">
        <v>0.16496362252609931</v>
      </c>
    </row>
    <row r="104" spans="1:10" ht="11.25" customHeight="1" x14ac:dyDescent="0.2">
      <c r="A104" s="55">
        <v>44621</v>
      </c>
      <c r="B104" s="45">
        <v>0</v>
      </c>
      <c r="C104" s="45">
        <v>0</v>
      </c>
      <c r="D104" s="45">
        <v>163677.84497000001</v>
      </c>
      <c r="E104" s="45">
        <v>239495.78736602271</v>
      </c>
      <c r="F104" s="45">
        <v>129551.34305</v>
      </c>
      <c r="G104" s="45">
        <v>102105.54974014316</v>
      </c>
      <c r="H104" s="46">
        <v>0.4632144467073056</v>
      </c>
      <c r="I104" s="46">
        <v>-0.21185263435875146</v>
      </c>
      <c r="J104" s="46">
        <v>0.16496362252609931</v>
      </c>
    </row>
    <row r="105" spans="1:10" ht="11.25" customHeight="1" x14ac:dyDescent="0.2">
      <c r="A105" s="55">
        <v>44652</v>
      </c>
      <c r="B105" s="45">
        <v>0</v>
      </c>
      <c r="C105" s="45">
        <v>0</v>
      </c>
      <c r="D105" s="45">
        <v>145776.75281000001</v>
      </c>
      <c r="E105" s="45">
        <v>213302.65070567178</v>
      </c>
      <c r="F105" s="45">
        <v>115382.59264999999</v>
      </c>
      <c r="G105" s="45">
        <v>90938.486437954765</v>
      </c>
      <c r="H105" s="46">
        <v>0.46321444670730538</v>
      </c>
      <c r="I105" s="46">
        <v>-0.21185263435875157</v>
      </c>
      <c r="J105" s="46">
        <v>0.16496362252609931</v>
      </c>
    </row>
    <row r="106" spans="1:10" ht="11.25" customHeight="1" x14ac:dyDescent="0.2">
      <c r="A106" s="55">
        <v>44682</v>
      </c>
      <c r="B106" s="45">
        <v>0</v>
      </c>
      <c r="C106" s="45">
        <v>0</v>
      </c>
      <c r="D106" s="45">
        <v>129612.06414</v>
      </c>
      <c r="E106" s="45">
        <v>189650.24471720192</v>
      </c>
      <c r="F106" s="45">
        <v>102588.20910000001</v>
      </c>
      <c r="G106" s="45">
        <v>80854.626748018549</v>
      </c>
      <c r="H106" s="46">
        <v>0.4632144467073056</v>
      </c>
      <c r="I106" s="46">
        <v>-0.21185263435875168</v>
      </c>
      <c r="J106" s="46">
        <v>0.16496362252609931</v>
      </c>
    </row>
    <row r="107" spans="1:10" ht="11.25" customHeight="1" x14ac:dyDescent="0.2">
      <c r="A107" s="55">
        <v>44713</v>
      </c>
      <c r="B107" s="45">
        <v>0</v>
      </c>
      <c r="C107" s="45">
        <v>0</v>
      </c>
      <c r="D107" s="45">
        <v>146744.31320999999</v>
      </c>
      <c r="E107" s="45">
        <v>214718.39906101371</v>
      </c>
      <c r="F107" s="45">
        <v>116148.41864999999</v>
      </c>
      <c r="G107" s="45">
        <v>91542.070182394338</v>
      </c>
      <c r="H107" s="46">
        <v>0.4632144467073056</v>
      </c>
      <c r="I107" s="46">
        <v>-0.21185263435875157</v>
      </c>
      <c r="J107" s="46">
        <v>0.16496362252609931</v>
      </c>
    </row>
    <row r="108" spans="1:10" ht="11.25" customHeight="1" x14ac:dyDescent="0.2">
      <c r="A108" s="55">
        <v>44743</v>
      </c>
      <c r="B108" s="45">
        <v>0</v>
      </c>
      <c r="C108" s="45">
        <v>0</v>
      </c>
      <c r="D108" s="45">
        <v>148809.25857000001</v>
      </c>
      <c r="E108" s="45">
        <v>217739.85694342692</v>
      </c>
      <c r="F108" s="45">
        <v>117782.82704999999</v>
      </c>
      <c r="G108" s="45">
        <v>92830.224857236259</v>
      </c>
      <c r="H108" s="46">
        <v>0.46321444670730538</v>
      </c>
      <c r="I108" s="46">
        <v>-0.21185263435875168</v>
      </c>
      <c r="J108" s="46">
        <v>0.16496362252609886</v>
      </c>
    </row>
    <row r="109" spans="1:10" ht="11.25" customHeight="1" x14ac:dyDescent="0.2">
      <c r="A109" s="55">
        <v>44774</v>
      </c>
      <c r="B109" s="45">
        <v>0</v>
      </c>
      <c r="C109" s="45">
        <v>0</v>
      </c>
      <c r="D109" s="45">
        <v>148809.25857000001</v>
      </c>
      <c r="E109" s="45">
        <v>217739.85694342692</v>
      </c>
      <c r="F109" s="45">
        <v>117782.82704999999</v>
      </c>
      <c r="G109" s="45">
        <v>92830.224857236259</v>
      </c>
      <c r="H109" s="46">
        <v>0.46321444670730538</v>
      </c>
      <c r="I109" s="46">
        <v>-0.21185263435875168</v>
      </c>
      <c r="J109" s="46">
        <v>0.16496362252609886</v>
      </c>
    </row>
    <row r="110" spans="1:10" ht="11.25" customHeight="1" x14ac:dyDescent="0.2">
      <c r="A110" s="51" t="s">
        <v>29</v>
      </c>
      <c r="B110" s="45">
        <v>0</v>
      </c>
      <c r="C110" s="45">
        <v>0</v>
      </c>
      <c r="D110" s="45">
        <v>6562.3763399999989</v>
      </c>
      <c r="E110" s="45">
        <v>9547.39534374301</v>
      </c>
      <c r="F110" s="45">
        <v>6669.31178</v>
      </c>
      <c r="G110" s="45">
        <v>5256.5554381451766</v>
      </c>
      <c r="H110" s="46">
        <v>0.45486860994976275</v>
      </c>
      <c r="I110" s="46">
        <v>-0.21182940436094344</v>
      </c>
      <c r="J110" s="46">
        <v>0.11882555329517452</v>
      </c>
    </row>
    <row r="111" spans="1:10" ht="11.25" customHeight="1" x14ac:dyDescent="0.2">
      <c r="A111" s="52" t="s">
        <v>25</v>
      </c>
      <c r="B111" s="45">
        <v>0</v>
      </c>
      <c r="C111" s="45">
        <v>0</v>
      </c>
      <c r="D111" s="45">
        <v>6562.3763399999989</v>
      </c>
      <c r="E111" s="45">
        <v>9547.39534374301</v>
      </c>
      <c r="F111" s="45">
        <v>6669.31178</v>
      </c>
      <c r="G111" s="45">
        <v>5256.5554381451766</v>
      </c>
      <c r="H111" s="46">
        <v>0.45486860994976275</v>
      </c>
      <c r="I111" s="46">
        <v>-0.21182940436094344</v>
      </c>
      <c r="J111" s="46">
        <v>0.11882555329517452</v>
      </c>
    </row>
    <row r="112" spans="1:10" ht="11.25" customHeight="1" x14ac:dyDescent="0.2">
      <c r="A112" s="53" t="s">
        <v>25</v>
      </c>
      <c r="B112" s="45">
        <v>0</v>
      </c>
      <c r="C112" s="45">
        <v>0</v>
      </c>
      <c r="D112" s="45">
        <v>6562.3763399999989</v>
      </c>
      <c r="E112" s="45">
        <v>9547.39534374301</v>
      </c>
      <c r="F112" s="45">
        <v>6669.31178</v>
      </c>
      <c r="G112" s="45">
        <v>5256.5554381451766</v>
      </c>
      <c r="H112" s="46">
        <v>0.45486860994976275</v>
      </c>
      <c r="I112" s="46">
        <v>-0.21182940436094344</v>
      </c>
      <c r="J112" s="46">
        <v>0.11882555329517452</v>
      </c>
    </row>
    <row r="113" spans="1:10" ht="11.25" customHeight="1" x14ac:dyDescent="0.2">
      <c r="A113" s="54" t="s">
        <v>25</v>
      </c>
      <c r="B113" s="45">
        <v>0</v>
      </c>
      <c r="C113" s="45">
        <v>0</v>
      </c>
      <c r="D113" s="45">
        <v>6562.3763399999989</v>
      </c>
      <c r="E113" s="45">
        <v>9547.39534374301</v>
      </c>
      <c r="F113" s="45">
        <v>6669.31178</v>
      </c>
      <c r="G113" s="45">
        <v>5256.5554381451766</v>
      </c>
      <c r="H113" s="46">
        <v>0.45486860994976275</v>
      </c>
      <c r="I113" s="46">
        <v>-0.21182940436094344</v>
      </c>
      <c r="J113" s="46">
        <v>0.11882555329517452</v>
      </c>
    </row>
    <row r="114" spans="1:10" ht="11.25" customHeight="1" x14ac:dyDescent="0.2">
      <c r="A114" s="55">
        <v>44440</v>
      </c>
      <c r="B114" s="45">
        <v>0</v>
      </c>
      <c r="C114" s="45">
        <v>0</v>
      </c>
      <c r="D114" s="45">
        <v>415.63080000000002</v>
      </c>
      <c r="E114" s="45">
        <v>604.68820424830778</v>
      </c>
      <c r="F114" s="45">
        <v>422.40359999999998</v>
      </c>
      <c r="G114" s="45">
        <v>332.92609701208187</v>
      </c>
      <c r="H114" s="46">
        <v>0.45486860994976253</v>
      </c>
      <c r="I114" s="46">
        <v>-0.21182940436094322</v>
      </c>
      <c r="J114" s="46">
        <v>0.11882555329517452</v>
      </c>
    </row>
    <row r="115" spans="1:10" ht="11.25" customHeight="1" x14ac:dyDescent="0.2">
      <c r="A115" s="55">
        <v>44470</v>
      </c>
      <c r="B115" s="45">
        <v>0</v>
      </c>
      <c r="C115" s="45">
        <v>0</v>
      </c>
      <c r="D115" s="45">
        <v>430.65359999999998</v>
      </c>
      <c r="E115" s="45">
        <v>626.54440440186102</v>
      </c>
      <c r="F115" s="45">
        <v>437.6712</v>
      </c>
      <c r="G115" s="45">
        <v>344.95957039806069</v>
      </c>
      <c r="H115" s="46">
        <v>0.45486860994976253</v>
      </c>
      <c r="I115" s="46">
        <v>-0.21182940436094333</v>
      </c>
      <c r="J115" s="46">
        <v>0.11882555329517452</v>
      </c>
    </row>
    <row r="116" spans="1:10" ht="11.25" customHeight="1" x14ac:dyDescent="0.2">
      <c r="A116" s="55">
        <v>44501</v>
      </c>
      <c r="B116" s="45">
        <v>0</v>
      </c>
      <c r="C116" s="45">
        <v>0</v>
      </c>
      <c r="D116" s="45">
        <v>445.67639999999994</v>
      </c>
      <c r="E116" s="45">
        <v>648.40060455541425</v>
      </c>
      <c r="F116" s="45">
        <v>452.93879999999996</v>
      </c>
      <c r="G116" s="45">
        <v>356.99304378403951</v>
      </c>
      <c r="H116" s="46">
        <v>0.45486860994976253</v>
      </c>
      <c r="I116" s="46">
        <v>-0.21182940436094333</v>
      </c>
      <c r="J116" s="46">
        <v>0.1188255532951743</v>
      </c>
    </row>
    <row r="117" spans="1:10" ht="11.25" customHeight="1" x14ac:dyDescent="0.2">
      <c r="A117" s="55">
        <v>44531</v>
      </c>
      <c r="B117" s="45">
        <v>0</v>
      </c>
      <c r="C117" s="45">
        <v>0</v>
      </c>
      <c r="D117" s="45">
        <v>448.18019999999996</v>
      </c>
      <c r="E117" s="45">
        <v>652.04330458100651</v>
      </c>
      <c r="F117" s="45">
        <v>455.48339999999996</v>
      </c>
      <c r="G117" s="45">
        <v>358.99862268170267</v>
      </c>
      <c r="H117" s="46">
        <v>0.45486860994976253</v>
      </c>
      <c r="I117" s="46">
        <v>-0.21182940436094333</v>
      </c>
      <c r="J117" s="46">
        <v>0.11882555329517452</v>
      </c>
    </row>
    <row r="118" spans="1:10" ht="11.25" customHeight="1" x14ac:dyDescent="0.2">
      <c r="A118" s="55">
        <v>44562</v>
      </c>
      <c r="B118" s="45">
        <v>0</v>
      </c>
      <c r="C118" s="45">
        <v>0</v>
      </c>
      <c r="D118" s="45">
        <v>460.69919999999991</v>
      </c>
      <c r="E118" s="45">
        <v>670.25680470896759</v>
      </c>
      <c r="F118" s="45">
        <v>468.20639999999992</v>
      </c>
      <c r="G118" s="45">
        <v>369.02651717001839</v>
      </c>
      <c r="H118" s="46">
        <v>0.45486860994976275</v>
      </c>
      <c r="I118" s="46">
        <v>-0.21182940436094322</v>
      </c>
      <c r="J118" s="46">
        <v>0.11882555329517475</v>
      </c>
    </row>
    <row r="119" spans="1:10" ht="11.25" customHeight="1" x14ac:dyDescent="0.2">
      <c r="A119" s="55">
        <v>44593</v>
      </c>
      <c r="B119" s="45">
        <v>0</v>
      </c>
      <c r="C119" s="45">
        <v>0</v>
      </c>
      <c r="D119" s="45">
        <v>480.72959999999995</v>
      </c>
      <c r="E119" s="45">
        <v>699.39840491370535</v>
      </c>
      <c r="F119" s="45">
        <v>488.56319999999994</v>
      </c>
      <c r="G119" s="45">
        <v>385.07114835132353</v>
      </c>
      <c r="H119" s="46">
        <v>0.45486860994976275</v>
      </c>
      <c r="I119" s="46">
        <v>-0.21182940436094333</v>
      </c>
      <c r="J119" s="46">
        <v>0.11882555329517452</v>
      </c>
    </row>
    <row r="120" spans="1:10" ht="11.25" customHeight="1" x14ac:dyDescent="0.2">
      <c r="A120" s="55">
        <v>44621</v>
      </c>
      <c r="B120" s="45">
        <v>0</v>
      </c>
      <c r="C120" s="45">
        <v>0</v>
      </c>
      <c r="D120" s="45">
        <v>600.91199999999992</v>
      </c>
      <c r="E120" s="45">
        <v>874.24800614213166</v>
      </c>
      <c r="F120" s="45">
        <v>610.70399999999995</v>
      </c>
      <c r="G120" s="45">
        <v>481.33893543915445</v>
      </c>
      <c r="H120" s="46">
        <v>0.45486860994976275</v>
      </c>
      <c r="I120" s="46">
        <v>-0.21182940436094333</v>
      </c>
      <c r="J120" s="46">
        <v>0.11882555329517452</v>
      </c>
    </row>
    <row r="121" spans="1:10" ht="11.25" customHeight="1" x14ac:dyDescent="0.2">
      <c r="A121" s="55">
        <v>44652</v>
      </c>
      <c r="B121" s="45">
        <v>0</v>
      </c>
      <c r="C121" s="45">
        <v>0</v>
      </c>
      <c r="D121" s="45">
        <v>625.94999999999993</v>
      </c>
      <c r="E121" s="45">
        <v>910.67500639805382</v>
      </c>
      <c r="F121" s="45">
        <v>636.15</v>
      </c>
      <c r="G121" s="45">
        <v>501.39472441578584</v>
      </c>
      <c r="H121" s="46">
        <v>0.45486860994976275</v>
      </c>
      <c r="I121" s="46">
        <v>-0.21182940436094344</v>
      </c>
      <c r="J121" s="46">
        <v>0.11882555329517452</v>
      </c>
    </row>
    <row r="122" spans="1:10" ht="11.25" customHeight="1" x14ac:dyDescent="0.2">
      <c r="A122" s="55">
        <v>44682</v>
      </c>
      <c r="B122" s="45">
        <v>0</v>
      </c>
      <c r="C122" s="45">
        <v>0</v>
      </c>
      <c r="D122" s="45">
        <v>691.04879999999991</v>
      </c>
      <c r="E122" s="45">
        <v>1005.3852070634513</v>
      </c>
      <c r="F122" s="45">
        <v>702.30959999999993</v>
      </c>
      <c r="G122" s="45">
        <v>553.53977575502756</v>
      </c>
      <c r="H122" s="46">
        <v>0.45486860994976253</v>
      </c>
      <c r="I122" s="46">
        <v>-0.21182940436094333</v>
      </c>
      <c r="J122" s="46">
        <v>0.11882555329517452</v>
      </c>
    </row>
    <row r="123" spans="1:10" ht="11.25" customHeight="1" x14ac:dyDescent="0.2">
      <c r="A123" s="55">
        <v>44713</v>
      </c>
      <c r="B123" s="45">
        <v>0</v>
      </c>
      <c r="C123" s="45">
        <v>0</v>
      </c>
      <c r="D123" s="45">
        <v>650.90454</v>
      </c>
      <c r="E123" s="45">
        <v>946.98058331978962</v>
      </c>
      <c r="F123" s="45">
        <v>661.51117999999997</v>
      </c>
      <c r="G123" s="45">
        <v>521.3836607624952</v>
      </c>
      <c r="H123" s="46">
        <v>0.45486860994976253</v>
      </c>
      <c r="I123" s="46">
        <v>-0.21182940436094333</v>
      </c>
      <c r="J123" s="46">
        <v>0.11882555329517452</v>
      </c>
    </row>
    <row r="124" spans="1:10" ht="11.25" customHeight="1" x14ac:dyDescent="0.2">
      <c r="A124" s="55">
        <v>44743</v>
      </c>
      <c r="B124" s="45">
        <v>0</v>
      </c>
      <c r="C124" s="45">
        <v>0</v>
      </c>
      <c r="D124" s="45">
        <v>655.99559999999997</v>
      </c>
      <c r="E124" s="45">
        <v>954.3874067051604</v>
      </c>
      <c r="F124" s="45">
        <v>666.68520000000001</v>
      </c>
      <c r="G124" s="45">
        <v>525.4616711877436</v>
      </c>
      <c r="H124" s="46">
        <v>0.45486860994976253</v>
      </c>
      <c r="I124" s="46">
        <v>-0.21182940436094333</v>
      </c>
      <c r="J124" s="46">
        <v>0.1188255532951743</v>
      </c>
    </row>
    <row r="125" spans="1:10" ht="11.25" customHeight="1" x14ac:dyDescent="0.2">
      <c r="A125" s="55">
        <v>44774</v>
      </c>
      <c r="B125" s="45">
        <v>0</v>
      </c>
      <c r="C125" s="45">
        <v>0</v>
      </c>
      <c r="D125" s="45">
        <v>655.99559999999997</v>
      </c>
      <c r="E125" s="45">
        <v>954.3874067051604</v>
      </c>
      <c r="F125" s="45">
        <v>666.68520000000001</v>
      </c>
      <c r="G125" s="45">
        <v>525.4616711877436</v>
      </c>
      <c r="H125" s="46">
        <v>0.45486860994976253</v>
      </c>
      <c r="I125" s="46">
        <v>-0.21182940436094333</v>
      </c>
      <c r="J125" s="46">
        <v>0.1188255532951743</v>
      </c>
    </row>
    <row r="126" spans="1:10" ht="11.25" customHeight="1" x14ac:dyDescent="0.2">
      <c r="A126" s="51" t="s">
        <v>30</v>
      </c>
      <c r="B126" s="45">
        <v>0</v>
      </c>
      <c r="C126" s="45">
        <v>0</v>
      </c>
      <c r="D126" s="45">
        <v>22872.457829999999</v>
      </c>
      <c r="E126" s="45">
        <v>33277.417736651543</v>
      </c>
      <c r="F126" s="45">
        <v>23246.551290000003</v>
      </c>
      <c r="G126" s="45">
        <v>18321.708159457663</v>
      </c>
      <c r="H126" s="46">
        <v>0.45491219107218894</v>
      </c>
      <c r="I126" s="46">
        <v>-0.21185263435875179</v>
      </c>
      <c r="J126" s="46">
        <v>0.11882555329517475</v>
      </c>
    </row>
    <row r="127" spans="1:10" ht="11.25" customHeight="1" x14ac:dyDescent="0.2">
      <c r="A127" s="52" t="s">
        <v>25</v>
      </c>
      <c r="B127" s="45">
        <v>0</v>
      </c>
      <c r="C127" s="45">
        <v>0</v>
      </c>
      <c r="D127" s="45">
        <v>22872.457829999999</v>
      </c>
      <c r="E127" s="45">
        <v>33277.417736651543</v>
      </c>
      <c r="F127" s="45">
        <v>23246.551290000003</v>
      </c>
      <c r="G127" s="45">
        <v>18321.708159457663</v>
      </c>
      <c r="H127" s="46">
        <v>0.45491219107218894</v>
      </c>
      <c r="I127" s="46">
        <v>-0.21185263435875179</v>
      </c>
      <c r="J127" s="46">
        <v>0.11882555329517475</v>
      </c>
    </row>
    <row r="128" spans="1:10" ht="11.25" customHeight="1" x14ac:dyDescent="0.2">
      <c r="A128" s="53" t="s">
        <v>25</v>
      </c>
      <c r="B128" s="45">
        <v>0</v>
      </c>
      <c r="C128" s="45">
        <v>0</v>
      </c>
      <c r="D128" s="45">
        <v>22872.457829999999</v>
      </c>
      <c r="E128" s="45">
        <v>33277.417736651543</v>
      </c>
      <c r="F128" s="45">
        <v>23246.551290000003</v>
      </c>
      <c r="G128" s="45">
        <v>18321.708159457663</v>
      </c>
      <c r="H128" s="46">
        <v>0.45491219107218894</v>
      </c>
      <c r="I128" s="46">
        <v>-0.21185263435875179</v>
      </c>
      <c r="J128" s="46">
        <v>0.11882555329517475</v>
      </c>
    </row>
    <row r="129" spans="1:10" ht="11.25" customHeight="1" x14ac:dyDescent="0.2">
      <c r="A129" s="54" t="s">
        <v>25</v>
      </c>
      <c r="B129" s="45">
        <v>0</v>
      </c>
      <c r="C129" s="45">
        <v>0</v>
      </c>
      <c r="D129" s="45">
        <v>22872.457829999999</v>
      </c>
      <c r="E129" s="45">
        <v>33277.417736651543</v>
      </c>
      <c r="F129" s="45">
        <v>23246.551290000003</v>
      </c>
      <c r="G129" s="45">
        <v>18321.708159457663</v>
      </c>
      <c r="H129" s="46">
        <v>0.45491219107218894</v>
      </c>
      <c r="I129" s="46">
        <v>-0.21185263435875179</v>
      </c>
      <c r="J129" s="46">
        <v>0.11882555329517475</v>
      </c>
    </row>
    <row r="130" spans="1:10" ht="11.25" customHeight="1" x14ac:dyDescent="0.2">
      <c r="A130" s="55">
        <v>44440</v>
      </c>
      <c r="B130" s="45">
        <v>0</v>
      </c>
      <c r="C130" s="45">
        <v>0</v>
      </c>
      <c r="D130" s="45">
        <v>1430.27079</v>
      </c>
      <c r="E130" s="45">
        <v>2080.9184089054506</v>
      </c>
      <c r="F130" s="45">
        <v>1453.6637699999999</v>
      </c>
      <c r="G130" s="45">
        <v>1145.7012708536256</v>
      </c>
      <c r="H130" s="46">
        <v>0.45491219107218894</v>
      </c>
      <c r="I130" s="46">
        <v>-0.21185263435875157</v>
      </c>
      <c r="J130" s="46">
        <v>0.11882555329517497</v>
      </c>
    </row>
    <row r="131" spans="1:10" ht="11.25" customHeight="1" x14ac:dyDescent="0.2">
      <c r="A131" s="55">
        <v>44470</v>
      </c>
      <c r="B131" s="45">
        <v>0</v>
      </c>
      <c r="C131" s="45">
        <v>0</v>
      </c>
      <c r="D131" s="45">
        <v>1522.2647999999999</v>
      </c>
      <c r="E131" s="45">
        <v>2214.7616155600672</v>
      </c>
      <c r="F131" s="45">
        <v>1547.1623999999999</v>
      </c>
      <c r="G131" s="45">
        <v>1219.3919697791914</v>
      </c>
      <c r="H131" s="46">
        <v>0.45491219107218872</v>
      </c>
      <c r="I131" s="46">
        <v>-0.21185263435875157</v>
      </c>
      <c r="J131" s="46">
        <v>0.11882555329517475</v>
      </c>
    </row>
    <row r="132" spans="1:10" ht="11.25" customHeight="1" x14ac:dyDescent="0.2">
      <c r="A132" s="55">
        <v>44501</v>
      </c>
      <c r="B132" s="45">
        <v>0</v>
      </c>
      <c r="C132" s="45">
        <v>0</v>
      </c>
      <c r="D132" s="45">
        <v>1558.6045799999999</v>
      </c>
      <c r="E132" s="45">
        <v>2267.6328045029486</v>
      </c>
      <c r="F132" s="45">
        <v>1584.09654</v>
      </c>
      <c r="G132" s="45">
        <v>1248.5015149224164</v>
      </c>
      <c r="H132" s="46">
        <v>0.45491219107218894</v>
      </c>
      <c r="I132" s="46">
        <v>-0.21185263435875168</v>
      </c>
      <c r="J132" s="46">
        <v>0.11882555329517475</v>
      </c>
    </row>
    <row r="133" spans="1:10" ht="11.25" customHeight="1" x14ac:dyDescent="0.2">
      <c r="A133" s="55">
        <v>44531</v>
      </c>
      <c r="B133" s="45">
        <v>0</v>
      </c>
      <c r="C133" s="45">
        <v>0</v>
      </c>
      <c r="D133" s="45">
        <v>1577.48982</v>
      </c>
      <c r="E133" s="45">
        <v>2295.1091704102723</v>
      </c>
      <c r="F133" s="45">
        <v>1603.2906599999999</v>
      </c>
      <c r="G133" s="45">
        <v>1263.6293100362184</v>
      </c>
      <c r="H133" s="46">
        <v>0.4549121910721885</v>
      </c>
      <c r="I133" s="46">
        <v>-0.21185263435875157</v>
      </c>
      <c r="J133" s="46">
        <v>0.11882555329517452</v>
      </c>
    </row>
    <row r="134" spans="1:10" ht="11.25" customHeight="1" x14ac:dyDescent="0.2">
      <c r="A134" s="55">
        <v>44562</v>
      </c>
      <c r="B134" s="45">
        <v>0</v>
      </c>
      <c r="C134" s="45">
        <v>0</v>
      </c>
      <c r="D134" s="45">
        <v>1669.4838299999999</v>
      </c>
      <c r="E134" s="45">
        <v>2428.9523770648893</v>
      </c>
      <c r="F134" s="45">
        <v>1696.7892899999999</v>
      </c>
      <c r="G134" s="45">
        <v>1337.3200089617842</v>
      </c>
      <c r="H134" s="46">
        <v>0.45491219107218872</v>
      </c>
      <c r="I134" s="46">
        <v>-0.21185263435875157</v>
      </c>
      <c r="J134" s="46">
        <v>0.11882555329517452</v>
      </c>
    </row>
    <row r="135" spans="1:10" ht="11.25" customHeight="1" x14ac:dyDescent="0.2">
      <c r="A135" s="55">
        <v>44593</v>
      </c>
      <c r="B135" s="45">
        <v>0</v>
      </c>
      <c r="C135" s="45">
        <v>0</v>
      </c>
      <c r="D135" s="45">
        <v>1754.46741</v>
      </c>
      <c r="E135" s="45">
        <v>2552.5960236478481</v>
      </c>
      <c r="F135" s="45">
        <v>1783.16283</v>
      </c>
      <c r="G135" s="45">
        <v>1405.3950869738933</v>
      </c>
      <c r="H135" s="46">
        <v>0.45491219107218872</v>
      </c>
      <c r="I135" s="46">
        <v>-0.21185263435875157</v>
      </c>
      <c r="J135" s="46">
        <v>0.11882555329517475</v>
      </c>
    </row>
    <row r="136" spans="1:10" ht="11.25" customHeight="1" x14ac:dyDescent="0.2">
      <c r="A136" s="55">
        <v>44621</v>
      </c>
      <c r="B136" s="45">
        <v>0</v>
      </c>
      <c r="C136" s="45">
        <v>0</v>
      </c>
      <c r="D136" s="45">
        <v>2101.5552299999999</v>
      </c>
      <c r="E136" s="45">
        <v>3057.5783243385176</v>
      </c>
      <c r="F136" s="45">
        <v>2135.92749</v>
      </c>
      <c r="G136" s="45">
        <v>1683.425624444224</v>
      </c>
      <c r="H136" s="46">
        <v>0.45491219107218872</v>
      </c>
      <c r="I136" s="46">
        <v>-0.21185263435875157</v>
      </c>
      <c r="J136" s="46">
        <v>0.11882555329517475</v>
      </c>
    </row>
    <row r="137" spans="1:10" ht="11.25" customHeight="1" x14ac:dyDescent="0.2">
      <c r="A137" s="55">
        <v>44652</v>
      </c>
      <c r="B137" s="45">
        <v>0</v>
      </c>
      <c r="C137" s="45">
        <v>0</v>
      </c>
      <c r="D137" s="45">
        <v>2208.2854499999999</v>
      </c>
      <c r="E137" s="45">
        <v>3212.861422572334</v>
      </c>
      <c r="F137" s="45">
        <v>2244.40335</v>
      </c>
      <c r="G137" s="45">
        <v>1768.9205877388929</v>
      </c>
      <c r="H137" s="46">
        <v>0.45491219107218872</v>
      </c>
      <c r="I137" s="46">
        <v>-0.21185263435875157</v>
      </c>
      <c r="J137" s="46">
        <v>0.11882555329517475</v>
      </c>
    </row>
    <row r="138" spans="1:10" ht="11.25" customHeight="1" x14ac:dyDescent="0.2">
      <c r="A138" s="55">
        <v>44682</v>
      </c>
      <c r="B138" s="45">
        <v>0</v>
      </c>
      <c r="C138" s="45">
        <v>0</v>
      </c>
      <c r="D138" s="45">
        <v>2344.6311599999999</v>
      </c>
      <c r="E138" s="45">
        <v>3411.2324582517276</v>
      </c>
      <c r="F138" s="45">
        <v>2382.9790800000001</v>
      </c>
      <c r="G138" s="45">
        <v>1878.1386842802058</v>
      </c>
      <c r="H138" s="46">
        <v>0.45491219107218894</v>
      </c>
      <c r="I138" s="46">
        <v>-0.21185263435875157</v>
      </c>
      <c r="J138" s="46">
        <v>0.11882555329517475</v>
      </c>
    </row>
    <row r="139" spans="1:10" ht="11.25" customHeight="1" x14ac:dyDescent="0.2">
      <c r="A139" s="55">
        <v>44713</v>
      </c>
      <c r="B139" s="45">
        <v>0</v>
      </c>
      <c r="C139" s="45">
        <v>0</v>
      </c>
      <c r="D139" s="45">
        <v>2211.8622</v>
      </c>
      <c r="E139" s="45">
        <v>3218.0652797517519</v>
      </c>
      <c r="F139" s="45">
        <v>2248.0385999999999</v>
      </c>
      <c r="G139" s="45">
        <v>1771.7857004498403</v>
      </c>
      <c r="H139" s="46">
        <v>0.45491219107218872</v>
      </c>
      <c r="I139" s="46">
        <v>-0.21185263435875146</v>
      </c>
      <c r="J139" s="46">
        <v>0.11882555329517497</v>
      </c>
    </row>
    <row r="140" spans="1:10" ht="11.25" customHeight="1" x14ac:dyDescent="0.2">
      <c r="A140" s="55">
        <v>44743</v>
      </c>
      <c r="B140" s="45">
        <v>0</v>
      </c>
      <c r="C140" s="45">
        <v>0</v>
      </c>
      <c r="D140" s="45">
        <v>2246.7712799999999</v>
      </c>
      <c r="E140" s="45">
        <v>3268.8549258228659</v>
      </c>
      <c r="F140" s="45">
        <v>2283.5186400000002</v>
      </c>
      <c r="G140" s="45">
        <v>1799.7492005086863</v>
      </c>
      <c r="H140" s="46">
        <v>0.45491219107218872</v>
      </c>
      <c r="I140" s="46">
        <v>-0.21185263435875168</v>
      </c>
      <c r="J140" s="46">
        <v>0.11882555329517452</v>
      </c>
    </row>
    <row r="141" spans="1:10" ht="11.25" customHeight="1" x14ac:dyDescent="0.2">
      <c r="A141" s="55">
        <v>44774</v>
      </c>
      <c r="B141" s="45">
        <v>0</v>
      </c>
      <c r="C141" s="45">
        <v>0</v>
      </c>
      <c r="D141" s="45">
        <v>2246.7712799999999</v>
      </c>
      <c r="E141" s="45">
        <v>3268.8549258228659</v>
      </c>
      <c r="F141" s="45">
        <v>2283.5186400000002</v>
      </c>
      <c r="G141" s="45">
        <v>1799.7492005086863</v>
      </c>
      <c r="H141" s="46">
        <v>0.45491219107218872</v>
      </c>
      <c r="I141" s="46">
        <v>-0.21185263435875168</v>
      </c>
      <c r="J141" s="46">
        <v>0.11882555329517452</v>
      </c>
    </row>
    <row r="142" spans="1:10" ht="11.25" customHeight="1" x14ac:dyDescent="0.2">
      <c r="A142" s="51" t="s">
        <v>31</v>
      </c>
      <c r="B142" s="45">
        <v>0</v>
      </c>
      <c r="C142" s="45">
        <v>0</v>
      </c>
      <c r="D142" s="45">
        <v>32176.909399999997</v>
      </c>
      <c r="E142" s="45">
        <v>46815.668497480387</v>
      </c>
      <c r="F142" s="45">
        <v>32703.195289999996</v>
      </c>
      <c r="G142" s="45">
        <v>25775.528086004073</v>
      </c>
      <c r="H142" s="46">
        <v>0.45494608930590386</v>
      </c>
      <c r="I142" s="46">
        <v>-0.21183456670101808</v>
      </c>
      <c r="J142" s="46">
        <v>0.11885140953961759</v>
      </c>
    </row>
    <row r="143" spans="1:10" ht="11.25" customHeight="1" x14ac:dyDescent="0.2">
      <c r="A143" s="52" t="s">
        <v>25</v>
      </c>
      <c r="B143" s="45">
        <v>0</v>
      </c>
      <c r="C143" s="45">
        <v>0</v>
      </c>
      <c r="D143" s="45">
        <v>32176.909399999997</v>
      </c>
      <c r="E143" s="45">
        <v>46815.668497480387</v>
      </c>
      <c r="F143" s="45">
        <v>32703.195289999996</v>
      </c>
      <c r="G143" s="45">
        <v>25775.528086004073</v>
      </c>
      <c r="H143" s="46">
        <v>0.45494608930590386</v>
      </c>
      <c r="I143" s="46">
        <v>-0.21183456670101808</v>
      </c>
      <c r="J143" s="46">
        <v>0.11885140953961759</v>
      </c>
    </row>
    <row r="144" spans="1:10" ht="11.25" customHeight="1" x14ac:dyDescent="0.2">
      <c r="A144" s="53" t="s">
        <v>25</v>
      </c>
      <c r="B144" s="45">
        <v>0</v>
      </c>
      <c r="C144" s="45">
        <v>0</v>
      </c>
      <c r="D144" s="45">
        <v>32176.909399999997</v>
      </c>
      <c r="E144" s="45">
        <v>46815.668497480387</v>
      </c>
      <c r="F144" s="45">
        <v>32703.195289999996</v>
      </c>
      <c r="G144" s="45">
        <v>25775.528086004073</v>
      </c>
      <c r="H144" s="46">
        <v>0.45494608930590386</v>
      </c>
      <c r="I144" s="46">
        <v>-0.21183456670101808</v>
      </c>
      <c r="J144" s="46">
        <v>0.11885140953961759</v>
      </c>
    </row>
    <row r="145" spans="1:10" ht="11.25" customHeight="1" x14ac:dyDescent="0.2">
      <c r="A145" s="54" t="s">
        <v>25</v>
      </c>
      <c r="B145" s="45">
        <v>0</v>
      </c>
      <c r="C145" s="45">
        <v>0</v>
      </c>
      <c r="D145" s="45">
        <v>32176.909399999997</v>
      </c>
      <c r="E145" s="45">
        <v>46815.668497480387</v>
      </c>
      <c r="F145" s="45">
        <v>32703.195289999996</v>
      </c>
      <c r="G145" s="45">
        <v>25775.528086004073</v>
      </c>
      <c r="H145" s="46">
        <v>0.45494608930590386</v>
      </c>
      <c r="I145" s="46">
        <v>-0.21183456670101808</v>
      </c>
      <c r="J145" s="46">
        <v>0.11885140953961759</v>
      </c>
    </row>
    <row r="146" spans="1:10" ht="11.25" customHeight="1" x14ac:dyDescent="0.2">
      <c r="A146" s="55">
        <v>44440</v>
      </c>
      <c r="B146" s="45">
        <v>0</v>
      </c>
      <c r="C146" s="45">
        <v>0</v>
      </c>
      <c r="D146" s="45">
        <v>1809.9363999999998</v>
      </c>
      <c r="E146" s="45">
        <v>2633.3598870724068</v>
      </c>
      <c r="F146" s="45">
        <v>1839.5397400000002</v>
      </c>
      <c r="G146" s="45">
        <v>1449.8616362477962</v>
      </c>
      <c r="H146" s="46">
        <v>0.4549460893059043</v>
      </c>
      <c r="I146" s="46">
        <v>-0.2118345667010183</v>
      </c>
      <c r="J146" s="46">
        <v>0.11885140953961781</v>
      </c>
    </row>
    <row r="147" spans="1:10" ht="11.25" customHeight="1" x14ac:dyDescent="0.2">
      <c r="A147" s="55">
        <v>44470</v>
      </c>
      <c r="B147" s="45">
        <v>0</v>
      </c>
      <c r="C147" s="45">
        <v>0</v>
      </c>
      <c r="D147" s="45">
        <v>2112.0932000000003</v>
      </c>
      <c r="E147" s="45">
        <v>3072.9817415895932</v>
      </c>
      <c r="F147" s="45">
        <v>2146.6386200000002</v>
      </c>
      <c r="G147" s="45">
        <v>1691.9063580686282</v>
      </c>
      <c r="H147" s="46">
        <v>0.45494608930590408</v>
      </c>
      <c r="I147" s="46">
        <v>-0.2118345667010183</v>
      </c>
      <c r="J147" s="46">
        <v>0.11885140953961737</v>
      </c>
    </row>
    <row r="148" spans="1:10" ht="11.25" customHeight="1" x14ac:dyDescent="0.2">
      <c r="A148" s="55">
        <v>44501</v>
      </c>
      <c r="B148" s="45">
        <v>0</v>
      </c>
      <c r="C148" s="45">
        <v>0</v>
      </c>
      <c r="D148" s="45">
        <v>2096.8566000000001</v>
      </c>
      <c r="E148" s="45">
        <v>3050.8133100052751</v>
      </c>
      <c r="F148" s="45">
        <v>2131.1528100000005</v>
      </c>
      <c r="G148" s="45">
        <v>1679.7009779199925</v>
      </c>
      <c r="H148" s="46">
        <v>0.4549460893059043</v>
      </c>
      <c r="I148" s="46">
        <v>-0.21183456670101841</v>
      </c>
      <c r="J148" s="46">
        <v>0.11885140953961759</v>
      </c>
    </row>
    <row r="149" spans="1:10" ht="11.25" customHeight="1" x14ac:dyDescent="0.2">
      <c r="A149" s="55">
        <v>44531</v>
      </c>
      <c r="B149" s="45">
        <v>0</v>
      </c>
      <c r="C149" s="45">
        <v>0</v>
      </c>
      <c r="D149" s="45">
        <v>2189.1345999999999</v>
      </c>
      <c r="E149" s="45">
        <v>3185.0728252342451</v>
      </c>
      <c r="F149" s="45">
        <v>2224.9401100000005</v>
      </c>
      <c r="G149" s="45">
        <v>1753.6208858624341</v>
      </c>
      <c r="H149" s="46">
        <v>0.4549460893059043</v>
      </c>
      <c r="I149" s="46">
        <v>-0.21183456670101841</v>
      </c>
      <c r="J149" s="46">
        <v>0.11885140953961759</v>
      </c>
    </row>
    <row r="150" spans="1:10" ht="11.25" customHeight="1" x14ac:dyDescent="0.2">
      <c r="A150" s="55">
        <v>44562</v>
      </c>
      <c r="B150" s="45">
        <v>0</v>
      </c>
      <c r="C150" s="45">
        <v>0</v>
      </c>
      <c r="D150" s="45">
        <v>2470.9043999999999</v>
      </c>
      <c r="E150" s="45">
        <v>3595.0326938287512</v>
      </c>
      <c r="F150" s="45">
        <v>2511.3185400000002</v>
      </c>
      <c r="G150" s="45">
        <v>1979.334465230866</v>
      </c>
      <c r="H150" s="46">
        <v>0.45494608930590408</v>
      </c>
      <c r="I150" s="46">
        <v>-0.21183456670101841</v>
      </c>
      <c r="J150" s="46">
        <v>0.11885140953961759</v>
      </c>
    </row>
    <row r="151" spans="1:10" ht="11.25" customHeight="1" x14ac:dyDescent="0.2">
      <c r="A151" s="55">
        <v>44593</v>
      </c>
      <c r="B151" s="45">
        <v>0</v>
      </c>
      <c r="C151" s="45">
        <v>0</v>
      </c>
      <c r="D151" s="45">
        <v>3066.4193999999998</v>
      </c>
      <c r="E151" s="45">
        <v>4461.4749142017572</v>
      </c>
      <c r="F151" s="45">
        <v>3116.5737899999999</v>
      </c>
      <c r="G151" s="45">
        <v>2456.3757316035994</v>
      </c>
      <c r="H151" s="46">
        <v>0.4549460893059043</v>
      </c>
      <c r="I151" s="46">
        <v>-0.2118345667010183</v>
      </c>
      <c r="J151" s="46">
        <v>0.11885140953961759</v>
      </c>
    </row>
    <row r="152" spans="1:10" ht="11.25" customHeight="1" x14ac:dyDescent="0.2">
      <c r="A152" s="55">
        <v>44621</v>
      </c>
      <c r="B152" s="45">
        <v>0</v>
      </c>
      <c r="C152" s="45">
        <v>0</v>
      </c>
      <c r="D152" s="45">
        <v>3020.4949999999999</v>
      </c>
      <c r="E152" s="45">
        <v>4394.6573880180376</v>
      </c>
      <c r="F152" s="45">
        <v>3069.8982500000002</v>
      </c>
      <c r="G152" s="45">
        <v>2419.5876843950359</v>
      </c>
      <c r="H152" s="46">
        <v>0.45494608930590452</v>
      </c>
      <c r="I152" s="46">
        <v>-0.2118345667010183</v>
      </c>
      <c r="J152" s="46">
        <v>0.11885140953961781</v>
      </c>
    </row>
    <row r="153" spans="1:10" ht="11.25" customHeight="1" x14ac:dyDescent="0.2">
      <c r="A153" s="55">
        <v>44652</v>
      </c>
      <c r="B153" s="45">
        <v>0</v>
      </c>
      <c r="C153" s="45">
        <v>0</v>
      </c>
      <c r="D153" s="45">
        <v>3109.1247999999996</v>
      </c>
      <c r="E153" s="45">
        <v>4523.6089689240016</v>
      </c>
      <c r="F153" s="45">
        <v>3159.97768</v>
      </c>
      <c r="G153" s="45">
        <v>2490.5851773723107</v>
      </c>
      <c r="H153" s="46">
        <v>0.4549460893059043</v>
      </c>
      <c r="I153" s="46">
        <v>-0.21183456670101841</v>
      </c>
      <c r="J153" s="46">
        <v>0.11885140953961759</v>
      </c>
    </row>
    <row r="154" spans="1:10" ht="11.25" customHeight="1" x14ac:dyDescent="0.2">
      <c r="A154" s="55">
        <v>44682</v>
      </c>
      <c r="B154" s="45">
        <v>0</v>
      </c>
      <c r="C154" s="45">
        <v>0</v>
      </c>
      <c r="D154" s="45">
        <v>2764.0480000000002</v>
      </c>
      <c r="E154" s="45">
        <v>4021.540828253806</v>
      </c>
      <c r="F154" s="45">
        <v>2809.2568000000006</v>
      </c>
      <c r="G154" s="45">
        <v>2214.1591030201107</v>
      </c>
      <c r="H154" s="46">
        <v>0.45494608930590408</v>
      </c>
      <c r="I154" s="46">
        <v>-0.21183456670101852</v>
      </c>
      <c r="J154" s="46">
        <v>0.11885140953961759</v>
      </c>
    </row>
    <row r="155" spans="1:10" ht="11.25" customHeight="1" x14ac:dyDescent="0.2">
      <c r="A155" s="55">
        <v>44713</v>
      </c>
      <c r="B155" s="45">
        <v>0</v>
      </c>
      <c r="C155" s="45">
        <v>0</v>
      </c>
      <c r="D155" s="45">
        <v>3135.5205999999998</v>
      </c>
      <c r="E155" s="45">
        <v>4562.0134349081027</v>
      </c>
      <c r="F155" s="45">
        <v>3186.8052100000004</v>
      </c>
      <c r="G155" s="45">
        <v>2511.7297091791024</v>
      </c>
      <c r="H155" s="46">
        <v>0.4549460893059043</v>
      </c>
      <c r="I155" s="46">
        <v>-0.21183456670101841</v>
      </c>
      <c r="J155" s="46">
        <v>0.11885140953961759</v>
      </c>
    </row>
    <row r="156" spans="1:10" ht="11.25" customHeight="1" x14ac:dyDescent="0.2">
      <c r="A156" s="55">
        <v>44743</v>
      </c>
      <c r="B156" s="45">
        <v>0</v>
      </c>
      <c r="C156" s="45">
        <v>0</v>
      </c>
      <c r="D156" s="45">
        <v>3201.1882000000001</v>
      </c>
      <c r="E156" s="45">
        <v>4657.5562527222064</v>
      </c>
      <c r="F156" s="45">
        <v>3253.5468700000001</v>
      </c>
      <c r="G156" s="45">
        <v>2564.3331785520954</v>
      </c>
      <c r="H156" s="46">
        <v>0.45494608930590408</v>
      </c>
      <c r="I156" s="46">
        <v>-0.21183456670101841</v>
      </c>
      <c r="J156" s="46">
        <v>0.11885140953961737</v>
      </c>
    </row>
    <row r="157" spans="1:10" ht="11.25" customHeight="1" x14ac:dyDescent="0.2">
      <c r="A157" s="55">
        <v>44774</v>
      </c>
      <c r="B157" s="45">
        <v>0</v>
      </c>
      <c r="C157" s="45">
        <v>0</v>
      </c>
      <c r="D157" s="45">
        <v>3201.1882000000001</v>
      </c>
      <c r="E157" s="45">
        <v>4657.5562527222064</v>
      </c>
      <c r="F157" s="45">
        <v>3253.5468700000001</v>
      </c>
      <c r="G157" s="45">
        <v>2564.3331785520954</v>
      </c>
      <c r="H157" s="46">
        <v>0.45494608930590408</v>
      </c>
      <c r="I157" s="46">
        <v>-0.21183456670101841</v>
      </c>
      <c r="J157" s="46">
        <v>0.11885140953961737</v>
      </c>
    </row>
    <row r="158" spans="1:10" ht="11.25" customHeight="1" x14ac:dyDescent="0.2">
      <c r="A158" s="51" t="s">
        <v>32</v>
      </c>
      <c r="B158" s="45">
        <v>0</v>
      </c>
      <c r="C158" s="45">
        <v>0</v>
      </c>
      <c r="D158" s="45">
        <v>12000.950049999999</v>
      </c>
      <c r="E158" s="45">
        <v>17460.328532193391</v>
      </c>
      <c r="F158" s="45">
        <v>12197.233149999998</v>
      </c>
      <c r="G158" s="45">
        <v>9613.2171752846061</v>
      </c>
      <c r="H158" s="46">
        <v>0.45491219107218872</v>
      </c>
      <c r="I158" s="46">
        <v>-0.21185263435875146</v>
      </c>
      <c r="J158" s="46">
        <v>0.11882555329517452</v>
      </c>
    </row>
    <row r="159" spans="1:10" ht="11.25" customHeight="1" x14ac:dyDescent="0.2">
      <c r="A159" s="52" t="s">
        <v>25</v>
      </c>
      <c r="B159" s="45">
        <v>0</v>
      </c>
      <c r="C159" s="45">
        <v>0</v>
      </c>
      <c r="D159" s="45">
        <v>12000.950049999999</v>
      </c>
      <c r="E159" s="45">
        <v>17460.328532193391</v>
      </c>
      <c r="F159" s="45">
        <v>12197.233149999998</v>
      </c>
      <c r="G159" s="45">
        <v>9613.2171752846061</v>
      </c>
      <c r="H159" s="46">
        <v>0.45491219107218872</v>
      </c>
      <c r="I159" s="46">
        <v>-0.21185263435875146</v>
      </c>
      <c r="J159" s="46">
        <v>0.11882555329517452</v>
      </c>
    </row>
    <row r="160" spans="1:10" ht="11.25" customHeight="1" x14ac:dyDescent="0.2">
      <c r="A160" s="53" t="s">
        <v>25</v>
      </c>
      <c r="B160" s="45">
        <v>0</v>
      </c>
      <c r="C160" s="45">
        <v>0</v>
      </c>
      <c r="D160" s="45">
        <v>12000.950049999999</v>
      </c>
      <c r="E160" s="45">
        <v>17460.328532193391</v>
      </c>
      <c r="F160" s="45">
        <v>12197.233149999998</v>
      </c>
      <c r="G160" s="45">
        <v>9613.2171752846061</v>
      </c>
      <c r="H160" s="46">
        <v>0.45491219107218872</v>
      </c>
      <c r="I160" s="46">
        <v>-0.21185263435875146</v>
      </c>
      <c r="J160" s="46">
        <v>0.11882555329517452</v>
      </c>
    </row>
    <row r="161" spans="1:10" ht="11.25" customHeight="1" x14ac:dyDescent="0.2">
      <c r="A161" s="54" t="s">
        <v>25</v>
      </c>
      <c r="B161" s="45">
        <v>0</v>
      </c>
      <c r="C161" s="45">
        <v>0</v>
      </c>
      <c r="D161" s="45">
        <v>12000.950049999999</v>
      </c>
      <c r="E161" s="45">
        <v>17460.328532193391</v>
      </c>
      <c r="F161" s="45">
        <v>12197.233149999998</v>
      </c>
      <c r="G161" s="45">
        <v>9613.2171752846061</v>
      </c>
      <c r="H161" s="46">
        <v>0.45491219107218872</v>
      </c>
      <c r="I161" s="46">
        <v>-0.21185263435875146</v>
      </c>
      <c r="J161" s="46">
        <v>0.11882555329517452</v>
      </c>
    </row>
    <row r="162" spans="1:10" ht="11.25" customHeight="1" x14ac:dyDescent="0.2">
      <c r="A162" s="55">
        <v>44440</v>
      </c>
      <c r="B162" s="45">
        <v>0</v>
      </c>
      <c r="C162" s="45">
        <v>0</v>
      </c>
      <c r="D162" s="45">
        <v>455.20104999999995</v>
      </c>
      <c r="E162" s="45">
        <v>662.27755703386083</v>
      </c>
      <c r="F162" s="45">
        <v>462.64614999999998</v>
      </c>
      <c r="G162" s="45">
        <v>364.63334434656582</v>
      </c>
      <c r="H162" s="46">
        <v>0.45491219107218872</v>
      </c>
      <c r="I162" s="46">
        <v>-0.21185263435875168</v>
      </c>
      <c r="J162" s="46">
        <v>0.11882555329517452</v>
      </c>
    </row>
    <row r="163" spans="1:10" ht="11.25" customHeight="1" x14ac:dyDescent="0.2">
      <c r="A163" s="55">
        <v>44470</v>
      </c>
      <c r="B163" s="45">
        <v>0</v>
      </c>
      <c r="C163" s="45">
        <v>0</v>
      </c>
      <c r="D163" s="45">
        <v>775.20094999999992</v>
      </c>
      <c r="E163" s="45">
        <v>1127.849312685742</v>
      </c>
      <c r="F163" s="45">
        <v>787.87984999999992</v>
      </c>
      <c r="G163" s="45">
        <v>620.96542821932189</v>
      </c>
      <c r="H163" s="46">
        <v>0.4549121910721885</v>
      </c>
      <c r="I163" s="46">
        <v>-0.21185263435875157</v>
      </c>
      <c r="J163" s="46">
        <v>0.11882555329517475</v>
      </c>
    </row>
    <row r="164" spans="1:10" ht="11.25" customHeight="1" x14ac:dyDescent="0.2">
      <c r="A164" s="55">
        <v>44501</v>
      </c>
      <c r="B164" s="45">
        <v>0</v>
      </c>
      <c r="C164" s="45">
        <v>0</v>
      </c>
      <c r="D164" s="45">
        <v>699.1354</v>
      </c>
      <c r="E164" s="45">
        <v>1017.180616670131</v>
      </c>
      <c r="F164" s="45">
        <v>710.5702</v>
      </c>
      <c r="G164" s="45">
        <v>560.03403123317503</v>
      </c>
      <c r="H164" s="46">
        <v>0.45491219107218872</v>
      </c>
      <c r="I164" s="46">
        <v>-0.21185263435875157</v>
      </c>
      <c r="J164" s="46">
        <v>0.11882555329517452</v>
      </c>
    </row>
    <row r="165" spans="1:10" ht="11.25" customHeight="1" x14ac:dyDescent="0.2">
      <c r="A165" s="55">
        <v>44531</v>
      </c>
      <c r="B165" s="45">
        <v>0</v>
      </c>
      <c r="C165" s="45">
        <v>0</v>
      </c>
      <c r="D165" s="45">
        <v>623.30829999999992</v>
      </c>
      <c r="E165" s="45">
        <v>906.85884446648106</v>
      </c>
      <c r="F165" s="45">
        <v>633.50289999999995</v>
      </c>
      <c r="G165" s="45">
        <v>499.29364176109118</v>
      </c>
      <c r="H165" s="46">
        <v>0.45491219107218872</v>
      </c>
      <c r="I165" s="46">
        <v>-0.21185263435875157</v>
      </c>
      <c r="J165" s="46">
        <v>0.11882555329517475</v>
      </c>
    </row>
    <row r="166" spans="1:10" ht="11.25" customHeight="1" x14ac:dyDescent="0.2">
      <c r="A166" s="55">
        <v>44562</v>
      </c>
      <c r="B166" s="45">
        <v>0</v>
      </c>
      <c r="C166" s="45">
        <v>0</v>
      </c>
      <c r="D166" s="45">
        <v>1016.51235</v>
      </c>
      <c r="E166" s="45">
        <v>1478.9362103904396</v>
      </c>
      <c r="F166" s="45">
        <v>1033.13805</v>
      </c>
      <c r="G166" s="45">
        <v>814.26503245123638</v>
      </c>
      <c r="H166" s="46">
        <v>0.45491219107218872</v>
      </c>
      <c r="I166" s="46">
        <v>-0.21185263435875157</v>
      </c>
      <c r="J166" s="46">
        <v>0.11882555329517475</v>
      </c>
    </row>
    <row r="167" spans="1:10" ht="11.25" customHeight="1" x14ac:dyDescent="0.2">
      <c r="A167" s="55">
        <v>44593</v>
      </c>
      <c r="B167" s="45">
        <v>0</v>
      </c>
      <c r="C167" s="45">
        <v>0</v>
      </c>
      <c r="D167" s="45">
        <v>2206.3778499999999</v>
      </c>
      <c r="E167" s="45">
        <v>3210.0860320766446</v>
      </c>
      <c r="F167" s="45">
        <v>2242.4645500000001</v>
      </c>
      <c r="G167" s="45">
        <v>1767.3925276263876</v>
      </c>
      <c r="H167" s="46">
        <v>0.45491219107218872</v>
      </c>
      <c r="I167" s="46">
        <v>-0.21185263435875157</v>
      </c>
      <c r="J167" s="46">
        <v>0.11882555329517475</v>
      </c>
    </row>
    <row r="168" spans="1:10" ht="11.25" customHeight="1" x14ac:dyDescent="0.2">
      <c r="A168" s="55">
        <v>44621</v>
      </c>
      <c r="B168" s="45">
        <v>0</v>
      </c>
      <c r="C168" s="45">
        <v>0</v>
      </c>
      <c r="D168" s="45">
        <v>1327.2127</v>
      </c>
      <c r="E168" s="45">
        <v>1930.9779373758354</v>
      </c>
      <c r="F168" s="45">
        <v>1348.9201</v>
      </c>
      <c r="G168" s="45">
        <v>1063.1478232755294</v>
      </c>
      <c r="H168" s="46">
        <v>0.4549121910721885</v>
      </c>
      <c r="I168" s="46">
        <v>-0.21185263435875157</v>
      </c>
      <c r="J168" s="46">
        <v>0.1188255532951743</v>
      </c>
    </row>
    <row r="169" spans="1:10" ht="11.25" customHeight="1" x14ac:dyDescent="0.2">
      <c r="A169" s="55">
        <v>44652</v>
      </c>
      <c r="B169" s="45">
        <v>0</v>
      </c>
      <c r="C169" s="45">
        <v>0</v>
      </c>
      <c r="D169" s="45">
        <v>1046.3185999999998</v>
      </c>
      <c r="E169" s="45">
        <v>1522.3016868855848</v>
      </c>
      <c r="F169" s="45">
        <v>1063.4317999999998</v>
      </c>
      <c r="G169" s="45">
        <v>838.14097170913089</v>
      </c>
      <c r="H169" s="46">
        <v>0.45491219107218872</v>
      </c>
      <c r="I169" s="46">
        <v>-0.21185263435875157</v>
      </c>
      <c r="J169" s="46">
        <v>0.11882555329517452</v>
      </c>
    </row>
    <row r="170" spans="1:10" ht="11.25" customHeight="1" x14ac:dyDescent="0.2">
      <c r="A170" s="55">
        <v>44682</v>
      </c>
      <c r="B170" s="45">
        <v>0</v>
      </c>
      <c r="C170" s="45">
        <v>0</v>
      </c>
      <c r="D170" s="45">
        <v>581.34109999999998</v>
      </c>
      <c r="E170" s="45">
        <v>845.80025356131637</v>
      </c>
      <c r="F170" s="45">
        <v>590.84929999999997</v>
      </c>
      <c r="G170" s="45">
        <v>465.67631928597569</v>
      </c>
      <c r="H170" s="46">
        <v>0.45491219107218872</v>
      </c>
      <c r="I170" s="46">
        <v>-0.21185263435875157</v>
      </c>
      <c r="J170" s="46">
        <v>0.11882555329517475</v>
      </c>
    </row>
    <row r="171" spans="1:10" ht="11.25" customHeight="1" x14ac:dyDescent="0.2">
      <c r="A171" s="55">
        <v>44713</v>
      </c>
      <c r="B171" s="45">
        <v>0</v>
      </c>
      <c r="C171" s="45">
        <v>0</v>
      </c>
      <c r="D171" s="45">
        <v>943.54664999999989</v>
      </c>
      <c r="E171" s="45">
        <v>1372.7775239303235</v>
      </c>
      <c r="F171" s="45">
        <v>958.97894999999994</v>
      </c>
      <c r="G171" s="45">
        <v>755.81673314791044</v>
      </c>
      <c r="H171" s="46">
        <v>0.45491219107218872</v>
      </c>
      <c r="I171" s="46">
        <v>-0.21185263435875157</v>
      </c>
      <c r="J171" s="46">
        <v>0.11882555329517452</v>
      </c>
    </row>
    <row r="172" spans="1:10" ht="11.25" customHeight="1" x14ac:dyDescent="0.2">
      <c r="A172" s="55">
        <v>44743</v>
      </c>
      <c r="B172" s="45">
        <v>0</v>
      </c>
      <c r="C172" s="45">
        <v>0</v>
      </c>
      <c r="D172" s="45">
        <v>1163.3975499999999</v>
      </c>
      <c r="E172" s="45">
        <v>1692.641278558516</v>
      </c>
      <c r="F172" s="45">
        <v>1182.4256499999999</v>
      </c>
      <c r="G172" s="45">
        <v>931.92566111414067</v>
      </c>
      <c r="H172" s="46">
        <v>0.45491219107218872</v>
      </c>
      <c r="I172" s="46">
        <v>-0.21185263435875168</v>
      </c>
      <c r="J172" s="46">
        <v>0.11882555329517452</v>
      </c>
    </row>
    <row r="173" spans="1:10" ht="11.25" customHeight="1" x14ac:dyDescent="0.2">
      <c r="A173" s="55">
        <v>44774</v>
      </c>
      <c r="B173" s="45">
        <v>0</v>
      </c>
      <c r="C173" s="45">
        <v>0</v>
      </c>
      <c r="D173" s="45">
        <v>1163.3975499999999</v>
      </c>
      <c r="E173" s="45">
        <v>1692.641278558516</v>
      </c>
      <c r="F173" s="45">
        <v>1182.4256499999999</v>
      </c>
      <c r="G173" s="45">
        <v>931.92566111414067</v>
      </c>
      <c r="H173" s="46">
        <v>0.45491219107218872</v>
      </c>
      <c r="I173" s="46">
        <v>-0.21185263435875168</v>
      </c>
      <c r="J173" s="46">
        <v>0.11882555329517452</v>
      </c>
    </row>
    <row r="174" spans="1:10" ht="11.25" customHeight="1" x14ac:dyDescent="0.2">
      <c r="A174" s="48" t="s">
        <v>42</v>
      </c>
      <c r="B174" s="45">
        <v>0</v>
      </c>
      <c r="C174" s="45">
        <v>0</v>
      </c>
      <c r="D174" s="45">
        <v>1471383.1360599999</v>
      </c>
      <c r="E174" s="45">
        <v>2299717.1449312665</v>
      </c>
      <c r="F174" s="45">
        <v>1164601.5269160001</v>
      </c>
      <c r="G174" s="45">
        <v>980450.99628901656</v>
      </c>
      <c r="H174" s="46">
        <v>0.56296282631683603</v>
      </c>
      <c r="I174" s="46">
        <v>-0.15812320898688415</v>
      </c>
      <c r="J174" s="46">
        <v>0.24438058661426632</v>
      </c>
    </row>
    <row r="175" spans="1:10" ht="11.25" customHeight="1" x14ac:dyDescent="0.2">
      <c r="A175" s="49" t="s">
        <v>23</v>
      </c>
      <c r="B175" s="45">
        <v>0</v>
      </c>
      <c r="C175" s="45">
        <v>0</v>
      </c>
      <c r="D175" s="45">
        <v>1471383.1360599999</v>
      </c>
      <c r="E175" s="45">
        <v>2299717.1449312665</v>
      </c>
      <c r="F175" s="45">
        <v>1164601.5269160001</v>
      </c>
      <c r="G175" s="45">
        <v>980450.99628901656</v>
      </c>
      <c r="H175" s="46">
        <v>0.56296282631683603</v>
      </c>
      <c r="I175" s="46">
        <v>-0.15812320898688415</v>
      </c>
      <c r="J175" s="46">
        <v>0.24438058661426632</v>
      </c>
    </row>
    <row r="176" spans="1:10" ht="11.25" customHeight="1" x14ac:dyDescent="0.2">
      <c r="A176" s="50" t="s">
        <v>43</v>
      </c>
      <c r="B176" s="45">
        <v>0</v>
      </c>
      <c r="C176" s="45">
        <v>0</v>
      </c>
      <c r="D176" s="45">
        <v>1471383.1360599999</v>
      </c>
      <c r="E176" s="45">
        <v>2299717.1449312665</v>
      </c>
      <c r="F176" s="45">
        <v>1164601.5269160001</v>
      </c>
      <c r="G176" s="45">
        <v>980450.99628901656</v>
      </c>
      <c r="H176" s="46">
        <v>0.56296282631683603</v>
      </c>
      <c r="I176" s="46">
        <v>-0.15812320898688415</v>
      </c>
      <c r="J176" s="46">
        <v>0.24438058661426632</v>
      </c>
    </row>
    <row r="177" spans="1:10" ht="11.25" customHeight="1" x14ac:dyDescent="0.2">
      <c r="A177" s="51" t="s">
        <v>51</v>
      </c>
      <c r="B177" s="45">
        <v>0</v>
      </c>
      <c r="C177" s="45">
        <v>0</v>
      </c>
      <c r="D177" s="45">
        <v>24048.304720000007</v>
      </c>
      <c r="E177" s="45">
        <v>37586.606313299693</v>
      </c>
      <c r="F177" s="45">
        <v>19034.262191999991</v>
      </c>
      <c r="G177" s="45">
        <v>16024.503573503232</v>
      </c>
      <c r="H177" s="46">
        <v>0.56296282631683447</v>
      </c>
      <c r="I177" s="46">
        <v>-0.15812320898688403</v>
      </c>
      <c r="J177" s="46">
        <v>0.24438058661426587</v>
      </c>
    </row>
    <row r="178" spans="1:10" ht="11.25" customHeight="1" x14ac:dyDescent="0.2">
      <c r="A178" s="52" t="s">
        <v>52</v>
      </c>
      <c r="B178" s="45">
        <v>0</v>
      </c>
      <c r="C178" s="45">
        <v>0</v>
      </c>
      <c r="D178" s="45">
        <v>17394.6142</v>
      </c>
      <c r="E178" s="45">
        <v>27187.135372722962</v>
      </c>
      <c r="F178" s="45">
        <v>13767.858119999997</v>
      </c>
      <c r="G178" s="45">
        <v>11590.840213189465</v>
      </c>
      <c r="H178" s="46">
        <v>0.56296282631683514</v>
      </c>
      <c r="I178" s="46">
        <v>-0.15812320898688415</v>
      </c>
      <c r="J178" s="46">
        <v>0.24438058661426587</v>
      </c>
    </row>
    <row r="179" spans="1:10" ht="11.25" customHeight="1" x14ac:dyDescent="0.2">
      <c r="A179" s="53" t="s">
        <v>25</v>
      </c>
      <c r="B179" s="45">
        <v>0</v>
      </c>
      <c r="C179" s="45">
        <v>0</v>
      </c>
      <c r="D179" s="45">
        <v>17394.6142</v>
      </c>
      <c r="E179" s="45">
        <v>27187.135372722962</v>
      </c>
      <c r="F179" s="45">
        <v>13767.858119999997</v>
      </c>
      <c r="G179" s="45">
        <v>11590.840213189465</v>
      </c>
      <c r="H179" s="46">
        <v>0.56296282631683514</v>
      </c>
      <c r="I179" s="46">
        <v>-0.15812320898688415</v>
      </c>
      <c r="J179" s="46">
        <v>0.24438058661426587</v>
      </c>
    </row>
    <row r="180" spans="1:10" ht="11.25" customHeight="1" x14ac:dyDescent="0.2">
      <c r="A180" s="54" t="s">
        <v>25</v>
      </c>
      <c r="B180" s="45">
        <v>0</v>
      </c>
      <c r="C180" s="45">
        <v>0</v>
      </c>
      <c r="D180" s="45">
        <v>17394.6142</v>
      </c>
      <c r="E180" s="45">
        <v>27187.135372722962</v>
      </c>
      <c r="F180" s="45">
        <v>13767.858119999997</v>
      </c>
      <c r="G180" s="45">
        <v>11590.840213189465</v>
      </c>
      <c r="H180" s="46">
        <v>0.56296282631683514</v>
      </c>
      <c r="I180" s="46">
        <v>-0.15812320898688415</v>
      </c>
      <c r="J180" s="46">
        <v>0.24438058661426587</v>
      </c>
    </row>
    <row r="181" spans="1:10" ht="11.25" customHeight="1" x14ac:dyDescent="0.2">
      <c r="A181" s="55">
        <v>44440</v>
      </c>
      <c r="B181" s="45">
        <v>0</v>
      </c>
      <c r="C181" s="45">
        <v>0</v>
      </c>
      <c r="D181" s="45">
        <v>1682.4458</v>
      </c>
      <c r="E181" s="45">
        <v>2629.600242692889</v>
      </c>
      <c r="F181" s="45">
        <v>1331.65788</v>
      </c>
      <c r="G181" s="45">
        <v>1121.0918627417284</v>
      </c>
      <c r="H181" s="46">
        <v>0.56296282631683536</v>
      </c>
      <c r="I181" s="46">
        <v>-0.15812320898688448</v>
      </c>
      <c r="J181" s="46">
        <v>0.24438058661426587</v>
      </c>
    </row>
    <row r="182" spans="1:10" ht="11.25" customHeight="1" x14ac:dyDescent="0.2">
      <c r="A182" s="55">
        <v>44470</v>
      </c>
      <c r="B182" s="45">
        <v>0</v>
      </c>
      <c r="C182" s="45">
        <v>0</v>
      </c>
      <c r="D182" s="45">
        <v>2106.8295499999995</v>
      </c>
      <c r="E182" s="45">
        <v>3292.8962680358263</v>
      </c>
      <c r="F182" s="45">
        <v>1667.5581299999999</v>
      </c>
      <c r="G182" s="45">
        <v>1403.8784873122315</v>
      </c>
      <c r="H182" s="46">
        <v>0.56296282631683581</v>
      </c>
      <c r="I182" s="46">
        <v>-0.15812320898688459</v>
      </c>
      <c r="J182" s="46">
        <v>0.24438058661426587</v>
      </c>
    </row>
    <row r="183" spans="1:10" ht="11.25" customHeight="1" x14ac:dyDescent="0.2">
      <c r="A183" s="55">
        <v>44501</v>
      </c>
      <c r="B183" s="45">
        <v>0</v>
      </c>
      <c r="C183" s="45">
        <v>0</v>
      </c>
      <c r="D183" s="45">
        <v>3120.2309999999998</v>
      </c>
      <c r="E183" s="45">
        <v>4876.8050625214055</v>
      </c>
      <c r="F183" s="45">
        <v>2469.6666</v>
      </c>
      <c r="G183" s="45">
        <v>2079.1549920802718</v>
      </c>
      <c r="H183" s="46">
        <v>0.56296282631683536</v>
      </c>
      <c r="I183" s="46">
        <v>-0.15812320898688437</v>
      </c>
      <c r="J183" s="46">
        <v>0.24438058661426587</v>
      </c>
    </row>
    <row r="184" spans="1:10" ht="11.25" customHeight="1" x14ac:dyDescent="0.2">
      <c r="A184" s="55">
        <v>44531</v>
      </c>
      <c r="B184" s="45">
        <v>0</v>
      </c>
      <c r="C184" s="45">
        <v>0</v>
      </c>
      <c r="D184" s="45">
        <v>2338.5565499999998</v>
      </c>
      <c r="E184" s="45">
        <v>3655.0769548897479</v>
      </c>
      <c r="F184" s="45">
        <v>1850.9703300000001</v>
      </c>
      <c r="G184" s="45">
        <v>1558.2889616808873</v>
      </c>
      <c r="H184" s="46">
        <v>0.56296282631683559</v>
      </c>
      <c r="I184" s="46">
        <v>-0.15812320898688459</v>
      </c>
      <c r="J184" s="46">
        <v>0.24438058661426609</v>
      </c>
    </row>
    <row r="185" spans="1:10" ht="11.25" customHeight="1" x14ac:dyDescent="0.2">
      <c r="A185" s="55">
        <v>44562</v>
      </c>
      <c r="B185" s="45">
        <v>0</v>
      </c>
      <c r="C185" s="45">
        <v>0</v>
      </c>
      <c r="D185" s="45">
        <v>4344.0728999999992</v>
      </c>
      <c r="E185" s="45">
        <v>6789.6244575103719</v>
      </c>
      <c r="F185" s="45">
        <v>3438.3389399999996</v>
      </c>
      <c r="G185" s="45">
        <v>2894.657753222637</v>
      </c>
      <c r="H185" s="46">
        <v>0.56296282631683581</v>
      </c>
      <c r="I185" s="46">
        <v>-0.15812320898688448</v>
      </c>
      <c r="J185" s="46">
        <v>0.24438058661426609</v>
      </c>
    </row>
    <row r="186" spans="1:10" ht="11.25" customHeight="1" x14ac:dyDescent="0.2">
      <c r="A186" s="55">
        <v>44593</v>
      </c>
      <c r="B186" s="45">
        <v>0</v>
      </c>
      <c r="C186" s="45">
        <v>0</v>
      </c>
      <c r="D186" s="45">
        <v>1706.9657500000001</v>
      </c>
      <c r="E186" s="45">
        <v>2667.9240130460371</v>
      </c>
      <c r="F186" s="45">
        <v>1351.0654500000001</v>
      </c>
      <c r="G186" s="45">
        <v>1137.4306454946909</v>
      </c>
      <c r="H186" s="46">
        <v>0.56296282631683559</v>
      </c>
      <c r="I186" s="46">
        <v>-0.15812320898688448</v>
      </c>
      <c r="J186" s="46">
        <v>0.24438058661426587</v>
      </c>
    </row>
    <row r="187" spans="1:10" ht="11.25" customHeight="1" x14ac:dyDescent="0.2">
      <c r="A187" s="55">
        <v>44621</v>
      </c>
      <c r="B187" s="45">
        <v>0</v>
      </c>
      <c r="C187" s="45">
        <v>0</v>
      </c>
      <c r="D187" s="45">
        <v>562.34214999999995</v>
      </c>
      <c r="E187" s="45">
        <v>878.91987612108574</v>
      </c>
      <c r="F187" s="45">
        <v>445.09449000000001</v>
      </c>
      <c r="G187" s="45">
        <v>374.7147209388192</v>
      </c>
      <c r="H187" s="46">
        <v>0.56296282631683536</v>
      </c>
      <c r="I187" s="46">
        <v>-0.15812320898688459</v>
      </c>
      <c r="J187" s="46">
        <v>0.24438058661426609</v>
      </c>
    </row>
    <row r="188" spans="1:10" ht="11.25" customHeight="1" x14ac:dyDescent="0.2">
      <c r="A188" s="55">
        <v>44652</v>
      </c>
      <c r="B188" s="45">
        <v>0</v>
      </c>
      <c r="C188" s="45">
        <v>0</v>
      </c>
      <c r="D188" s="45">
        <v>54.698349999999976</v>
      </c>
      <c r="E188" s="45">
        <v>85.491487710867432</v>
      </c>
      <c r="F188" s="45">
        <v>43.293810000000008</v>
      </c>
      <c r="G188" s="45">
        <v>36.448053833531517</v>
      </c>
      <c r="H188" s="46">
        <v>0.56296282631683536</v>
      </c>
      <c r="I188" s="46">
        <v>-0.15812320898688492</v>
      </c>
      <c r="J188" s="46">
        <v>0.24438058661426565</v>
      </c>
    </row>
    <row r="189" spans="1:10" ht="11.25" customHeight="1" x14ac:dyDescent="0.2">
      <c r="A189" s="55">
        <v>44682</v>
      </c>
      <c r="B189" s="45">
        <v>0</v>
      </c>
      <c r="C189" s="45">
        <v>0</v>
      </c>
      <c r="D189" s="45">
        <v>130.95269999999999</v>
      </c>
      <c r="E189" s="45">
        <v>204.67420210582063</v>
      </c>
      <c r="F189" s="45">
        <v>103.64922</v>
      </c>
      <c r="G189" s="45">
        <v>87.259872724612421</v>
      </c>
      <c r="H189" s="46">
        <v>0.56296282631683536</v>
      </c>
      <c r="I189" s="46">
        <v>-0.15812320898688459</v>
      </c>
      <c r="J189" s="46">
        <v>0.24438058661426565</v>
      </c>
    </row>
    <row r="190" spans="1:10" ht="11.25" customHeight="1" x14ac:dyDescent="0.2">
      <c r="A190" s="55">
        <v>44713</v>
      </c>
      <c r="B190" s="45">
        <v>0</v>
      </c>
      <c r="C190" s="45">
        <v>0</v>
      </c>
      <c r="D190" s="45">
        <v>471.80694999999997</v>
      </c>
      <c r="E190" s="45">
        <v>737.41672404792587</v>
      </c>
      <c r="F190" s="45">
        <v>373.43576999999999</v>
      </c>
      <c r="G190" s="45">
        <v>314.38690769711189</v>
      </c>
      <c r="H190" s="46">
        <v>0.56296282631683559</v>
      </c>
      <c r="I190" s="46">
        <v>-0.15812320898688437</v>
      </c>
      <c r="J190" s="46">
        <v>0.24438058661426609</v>
      </c>
    </row>
    <row r="191" spans="1:10" ht="11.25" customHeight="1" x14ac:dyDescent="0.2">
      <c r="A191" s="55">
        <v>44743</v>
      </c>
      <c r="B191" s="45">
        <v>0</v>
      </c>
      <c r="C191" s="45">
        <v>0</v>
      </c>
      <c r="D191" s="45">
        <v>437.85624999999999</v>
      </c>
      <c r="E191" s="45">
        <v>684.35304202049088</v>
      </c>
      <c r="F191" s="45">
        <v>346.56375000000003</v>
      </c>
      <c r="G191" s="45">
        <v>291.76397773147164</v>
      </c>
      <c r="H191" s="46">
        <v>0.56296282631683559</v>
      </c>
      <c r="I191" s="46">
        <v>-0.15812320898688448</v>
      </c>
      <c r="J191" s="46">
        <v>0.24438058661426587</v>
      </c>
    </row>
    <row r="192" spans="1:10" ht="11.25" customHeight="1" x14ac:dyDescent="0.2">
      <c r="A192" s="55">
        <v>44774</v>
      </c>
      <c r="B192" s="45">
        <v>0</v>
      </c>
      <c r="C192" s="45">
        <v>0</v>
      </c>
      <c r="D192" s="45">
        <v>437.85624999999999</v>
      </c>
      <c r="E192" s="45">
        <v>684.35304202049088</v>
      </c>
      <c r="F192" s="45">
        <v>346.56375000000003</v>
      </c>
      <c r="G192" s="45">
        <v>291.76397773147164</v>
      </c>
      <c r="H192" s="46">
        <v>0.56296282631683559</v>
      </c>
      <c r="I192" s="46">
        <v>-0.15812320898688448</v>
      </c>
      <c r="J192" s="46">
        <v>0.24438058661426587</v>
      </c>
    </row>
    <row r="193" spans="1:10" ht="11.25" customHeight="1" x14ac:dyDescent="0.2">
      <c r="A193" s="52" t="s">
        <v>53</v>
      </c>
      <c r="B193" s="45">
        <v>0</v>
      </c>
      <c r="C193" s="45">
        <v>0</v>
      </c>
      <c r="D193" s="45">
        <v>6653.6905200000001</v>
      </c>
      <c r="E193" s="45">
        <v>10399.470940576735</v>
      </c>
      <c r="F193" s="45">
        <v>5266.4040720000003</v>
      </c>
      <c r="G193" s="45">
        <v>4433.6633603137643</v>
      </c>
      <c r="H193" s="46">
        <v>0.56296282631683514</v>
      </c>
      <c r="I193" s="46">
        <v>-0.1581232089868847</v>
      </c>
      <c r="J193" s="46">
        <v>0.24438058661426587</v>
      </c>
    </row>
    <row r="194" spans="1:10" ht="11.25" customHeight="1" x14ac:dyDescent="0.2">
      <c r="A194" s="53" t="s">
        <v>25</v>
      </c>
      <c r="B194" s="45">
        <v>0</v>
      </c>
      <c r="C194" s="45">
        <v>0</v>
      </c>
      <c r="D194" s="45">
        <v>6653.6905200000001</v>
      </c>
      <c r="E194" s="45">
        <v>10399.470940576735</v>
      </c>
      <c r="F194" s="45">
        <v>5266.4040720000003</v>
      </c>
      <c r="G194" s="45">
        <v>4433.6633603137643</v>
      </c>
      <c r="H194" s="46">
        <v>0.56296282631683514</v>
      </c>
      <c r="I194" s="46">
        <v>-0.1581232089868847</v>
      </c>
      <c r="J194" s="46">
        <v>0.24438058661426587</v>
      </c>
    </row>
    <row r="195" spans="1:10" ht="11.25" customHeight="1" x14ac:dyDescent="0.2">
      <c r="A195" s="54" t="s">
        <v>25</v>
      </c>
      <c r="B195" s="45">
        <v>0</v>
      </c>
      <c r="C195" s="45">
        <v>0</v>
      </c>
      <c r="D195" s="45">
        <v>6653.6905200000001</v>
      </c>
      <c r="E195" s="45">
        <v>10399.470940576735</v>
      </c>
      <c r="F195" s="45">
        <v>5266.4040720000003</v>
      </c>
      <c r="G195" s="45">
        <v>4433.6633603137643</v>
      </c>
      <c r="H195" s="46">
        <v>0.56296282631683514</v>
      </c>
      <c r="I195" s="46">
        <v>-0.1581232089868847</v>
      </c>
      <c r="J195" s="46">
        <v>0.24438058661426587</v>
      </c>
    </row>
    <row r="196" spans="1:10" ht="11.25" customHeight="1" x14ac:dyDescent="0.2">
      <c r="A196" s="55">
        <v>44440</v>
      </c>
      <c r="B196" s="45">
        <v>0</v>
      </c>
      <c r="C196" s="45">
        <v>0</v>
      </c>
      <c r="D196" s="45">
        <v>678.90621999999996</v>
      </c>
      <c r="E196" s="45">
        <v>1061.1051844152794</v>
      </c>
      <c r="F196" s="45">
        <v>537.35509200000001</v>
      </c>
      <c r="G196" s="45">
        <v>452.38678048751746</v>
      </c>
      <c r="H196" s="46">
        <v>0.56296282631683559</v>
      </c>
      <c r="I196" s="46">
        <v>-0.15812320898688448</v>
      </c>
      <c r="J196" s="46">
        <v>0.24438058661426587</v>
      </c>
    </row>
    <row r="197" spans="1:10" ht="11.25" customHeight="1" x14ac:dyDescent="0.2">
      <c r="A197" s="55">
        <v>44470</v>
      </c>
      <c r="B197" s="45">
        <v>0</v>
      </c>
      <c r="C197" s="45">
        <v>0</v>
      </c>
      <c r="D197" s="45">
        <v>457.09497999999996</v>
      </c>
      <c r="E197" s="45">
        <v>714.42246183603731</v>
      </c>
      <c r="F197" s="45">
        <v>361.79122799999999</v>
      </c>
      <c r="G197" s="45">
        <v>304.5836380453344</v>
      </c>
      <c r="H197" s="46">
        <v>0.56296282631683536</v>
      </c>
      <c r="I197" s="46">
        <v>-0.15812320898688459</v>
      </c>
      <c r="J197" s="46">
        <v>0.24438058661426609</v>
      </c>
    </row>
    <row r="198" spans="1:10" ht="11.25" customHeight="1" x14ac:dyDescent="0.2">
      <c r="A198" s="55">
        <v>44501</v>
      </c>
      <c r="B198" s="45">
        <v>0</v>
      </c>
      <c r="C198" s="45">
        <v>0</v>
      </c>
      <c r="D198" s="45">
        <v>1589.1083199999998</v>
      </c>
      <c r="E198" s="45">
        <v>2483.7172311507979</v>
      </c>
      <c r="F198" s="45">
        <v>1257.781152</v>
      </c>
      <c r="G198" s="45">
        <v>1058.8967600425397</v>
      </c>
      <c r="H198" s="46">
        <v>0.56296282631683559</v>
      </c>
      <c r="I198" s="46">
        <v>-0.15812320898688448</v>
      </c>
      <c r="J198" s="46">
        <v>0.24438058661426609</v>
      </c>
    </row>
    <row r="199" spans="1:10" ht="11.25" customHeight="1" x14ac:dyDescent="0.2">
      <c r="A199" s="55">
        <v>44531</v>
      </c>
      <c r="B199" s="45">
        <v>0</v>
      </c>
      <c r="C199" s="45">
        <v>0</v>
      </c>
      <c r="D199" s="45">
        <v>770.08810000000005</v>
      </c>
      <c r="E199" s="45">
        <v>1203.6190732889618</v>
      </c>
      <c r="F199" s="45">
        <v>609.52566000000002</v>
      </c>
      <c r="G199" s="45">
        <v>513.14550668095137</v>
      </c>
      <c r="H199" s="46">
        <v>0.56296282631683536</v>
      </c>
      <c r="I199" s="46">
        <v>-0.15812320898688437</v>
      </c>
      <c r="J199" s="46">
        <v>0.24438058661426565</v>
      </c>
    </row>
    <row r="200" spans="1:10" ht="11.25" customHeight="1" x14ac:dyDescent="0.2">
      <c r="A200" s="55">
        <v>44562</v>
      </c>
      <c r="B200" s="45">
        <v>0</v>
      </c>
      <c r="C200" s="45">
        <v>0</v>
      </c>
      <c r="D200" s="45">
        <v>1692.3615599999996</v>
      </c>
      <c r="E200" s="45">
        <v>2645.0982069675688</v>
      </c>
      <c r="F200" s="45">
        <v>1339.506216</v>
      </c>
      <c r="G200" s="45">
        <v>1127.6991946682012</v>
      </c>
      <c r="H200" s="46">
        <v>0.56296282631683581</v>
      </c>
      <c r="I200" s="46">
        <v>-0.15812320898688448</v>
      </c>
      <c r="J200" s="46">
        <v>0.24438058661426632</v>
      </c>
    </row>
    <row r="201" spans="1:10" ht="11.25" customHeight="1" x14ac:dyDescent="0.2">
      <c r="A201" s="55">
        <v>44593</v>
      </c>
      <c r="B201" s="45">
        <v>0</v>
      </c>
      <c r="C201" s="45">
        <v>0</v>
      </c>
      <c r="D201" s="45">
        <v>860.62329999999997</v>
      </c>
      <c r="E201" s="45">
        <v>1345.1222253621218</v>
      </c>
      <c r="F201" s="45">
        <v>681.18438000000003</v>
      </c>
      <c r="G201" s="45">
        <v>573.47331992265867</v>
      </c>
      <c r="H201" s="46">
        <v>0.56296282631683559</v>
      </c>
      <c r="I201" s="46">
        <v>-0.15812320898688448</v>
      </c>
      <c r="J201" s="46">
        <v>0.24438058661426609</v>
      </c>
    </row>
    <row r="202" spans="1:10" ht="11.25" customHeight="1" x14ac:dyDescent="0.2">
      <c r="A202" s="55">
        <v>44621</v>
      </c>
      <c r="B202" s="45">
        <v>0</v>
      </c>
      <c r="C202" s="45">
        <v>0</v>
      </c>
      <c r="D202" s="45">
        <v>85.792879999999997</v>
      </c>
      <c r="E202" s="45">
        <v>134.09108220266111</v>
      </c>
      <c r="F202" s="45">
        <v>67.905168000000003</v>
      </c>
      <c r="G202" s="45">
        <v>57.167784929046505</v>
      </c>
      <c r="H202" s="46">
        <v>0.56296282631683559</v>
      </c>
      <c r="I202" s="46">
        <v>-0.15812320898688448</v>
      </c>
      <c r="J202" s="46">
        <v>0.24438058661426609</v>
      </c>
    </row>
    <row r="203" spans="1:10" ht="11.25" customHeight="1" x14ac:dyDescent="0.2">
      <c r="A203" s="55">
        <v>44652</v>
      </c>
      <c r="B203" s="45">
        <v>0</v>
      </c>
      <c r="C203" s="45">
        <v>0</v>
      </c>
      <c r="D203" s="45">
        <v>70.5959</v>
      </c>
      <c r="E203" s="45">
        <v>110.33876739038068</v>
      </c>
      <c r="F203" s="45">
        <v>55.876740000000005</v>
      </c>
      <c r="G203" s="45">
        <v>47.041330563474197</v>
      </c>
      <c r="H203" s="46">
        <v>0.56296282631683536</v>
      </c>
      <c r="I203" s="46">
        <v>-0.15812320898688448</v>
      </c>
      <c r="J203" s="46">
        <v>0.24438058661426587</v>
      </c>
    </row>
    <row r="204" spans="1:10" ht="11.25" customHeight="1" x14ac:dyDescent="0.2">
      <c r="A204" s="55">
        <v>44682</v>
      </c>
      <c r="B204" s="45">
        <v>0</v>
      </c>
      <c r="C204" s="45">
        <v>0</v>
      </c>
      <c r="D204" s="45">
        <v>57.770079999999993</v>
      </c>
      <c r="E204" s="45">
        <v>90.292487513349684</v>
      </c>
      <c r="F204" s="45">
        <v>45.725088</v>
      </c>
      <c r="G204" s="45">
        <v>38.494890354232311</v>
      </c>
      <c r="H204" s="46">
        <v>0.56296282631683559</v>
      </c>
      <c r="I204" s="46">
        <v>-0.15812320898688459</v>
      </c>
      <c r="J204" s="46">
        <v>0.24438058661426587</v>
      </c>
    </row>
    <row r="205" spans="1:10" ht="11.25" customHeight="1" x14ac:dyDescent="0.2">
      <c r="A205" s="55">
        <v>44713</v>
      </c>
      <c r="B205" s="45">
        <v>0</v>
      </c>
      <c r="C205" s="45">
        <v>0</v>
      </c>
      <c r="D205" s="45">
        <v>179.23813999999999</v>
      </c>
      <c r="E205" s="45">
        <v>280.14254987817264</v>
      </c>
      <c r="F205" s="45">
        <v>141.86720400000002</v>
      </c>
      <c r="G205" s="45">
        <v>119.43470645352303</v>
      </c>
      <c r="H205" s="46">
        <v>0.56296282631683559</v>
      </c>
      <c r="I205" s="46">
        <v>-0.15812320898688448</v>
      </c>
      <c r="J205" s="46">
        <v>0.24438058661426609</v>
      </c>
    </row>
    <row r="206" spans="1:10" ht="11.25" customHeight="1" x14ac:dyDescent="0.2">
      <c r="A206" s="55">
        <v>44743</v>
      </c>
      <c r="B206" s="45">
        <v>0</v>
      </c>
      <c r="C206" s="45">
        <v>0</v>
      </c>
      <c r="D206" s="45">
        <v>106.05552</v>
      </c>
      <c r="E206" s="45">
        <v>165.76083528570166</v>
      </c>
      <c r="F206" s="45">
        <v>83.943072000000001</v>
      </c>
      <c r="G206" s="45">
        <v>70.66972408314291</v>
      </c>
      <c r="H206" s="46">
        <v>0.56296282631683536</v>
      </c>
      <c r="I206" s="46">
        <v>-0.15812320898688448</v>
      </c>
      <c r="J206" s="46">
        <v>0.24438058661426587</v>
      </c>
    </row>
    <row r="207" spans="1:10" ht="11.25" customHeight="1" x14ac:dyDescent="0.2">
      <c r="A207" s="55">
        <v>44774</v>
      </c>
      <c r="B207" s="45">
        <v>0</v>
      </c>
      <c r="C207" s="45">
        <v>0</v>
      </c>
      <c r="D207" s="45">
        <v>106.05552</v>
      </c>
      <c r="E207" s="45">
        <v>165.76083528570166</v>
      </c>
      <c r="F207" s="45">
        <v>83.943072000000001</v>
      </c>
      <c r="G207" s="45">
        <v>70.66972408314291</v>
      </c>
      <c r="H207" s="46">
        <v>0.56296282631683536</v>
      </c>
      <c r="I207" s="46">
        <v>-0.15812320898688448</v>
      </c>
      <c r="J207" s="46">
        <v>0.24438058661426587</v>
      </c>
    </row>
    <row r="208" spans="1:10" ht="11.25" customHeight="1" x14ac:dyDescent="0.2">
      <c r="A208" s="51" t="s">
        <v>54</v>
      </c>
      <c r="B208" s="45">
        <v>0</v>
      </c>
      <c r="C208" s="45">
        <v>0</v>
      </c>
      <c r="D208" s="45">
        <v>4217.7547399999985</v>
      </c>
      <c r="E208" s="45">
        <v>6592.193869141629</v>
      </c>
      <c r="F208" s="45">
        <v>3338.3579639999998</v>
      </c>
      <c r="G208" s="45">
        <v>2810.4860899853975</v>
      </c>
      <c r="H208" s="46">
        <v>0.56296282631683581</v>
      </c>
      <c r="I208" s="46">
        <v>-0.15812320898688459</v>
      </c>
      <c r="J208" s="46">
        <v>0.24438058661426609</v>
      </c>
    </row>
    <row r="209" spans="1:10" ht="11.25" customHeight="1" x14ac:dyDescent="0.2">
      <c r="A209" s="52" t="s">
        <v>52</v>
      </c>
      <c r="B209" s="45">
        <v>0</v>
      </c>
      <c r="C209" s="45">
        <v>0</v>
      </c>
      <c r="D209" s="45">
        <v>1699.6906000000001</v>
      </c>
      <c r="E209" s="45">
        <v>2656.5532240401576</v>
      </c>
      <c r="F209" s="45">
        <v>1345.3071600000001</v>
      </c>
      <c r="G209" s="45">
        <v>1132.5828747877679</v>
      </c>
      <c r="H209" s="46">
        <v>0.56296282631683514</v>
      </c>
      <c r="I209" s="46">
        <v>-0.15812320898688459</v>
      </c>
      <c r="J209" s="46">
        <v>0.24438058661426587</v>
      </c>
    </row>
    <row r="210" spans="1:10" ht="11.25" customHeight="1" x14ac:dyDescent="0.2">
      <c r="A210" s="53" t="s">
        <v>25</v>
      </c>
      <c r="B210" s="45">
        <v>0</v>
      </c>
      <c r="C210" s="45">
        <v>0</v>
      </c>
      <c r="D210" s="45">
        <v>1699.6906000000001</v>
      </c>
      <c r="E210" s="45">
        <v>2656.5532240401576</v>
      </c>
      <c r="F210" s="45">
        <v>1345.3071600000001</v>
      </c>
      <c r="G210" s="45">
        <v>1132.5828747877679</v>
      </c>
      <c r="H210" s="46">
        <v>0.56296282631683514</v>
      </c>
      <c r="I210" s="46">
        <v>-0.15812320898688459</v>
      </c>
      <c r="J210" s="46">
        <v>0.24438058661426587</v>
      </c>
    </row>
    <row r="211" spans="1:10" ht="11.25" customHeight="1" x14ac:dyDescent="0.2">
      <c r="A211" s="54" t="s">
        <v>25</v>
      </c>
      <c r="B211" s="45">
        <v>0</v>
      </c>
      <c r="C211" s="45">
        <v>0</v>
      </c>
      <c r="D211" s="45">
        <v>1699.6906000000001</v>
      </c>
      <c r="E211" s="45">
        <v>2656.5532240401576</v>
      </c>
      <c r="F211" s="45">
        <v>1345.3071600000001</v>
      </c>
      <c r="G211" s="45">
        <v>1132.5828747877679</v>
      </c>
      <c r="H211" s="46">
        <v>0.56296282631683514</v>
      </c>
      <c r="I211" s="46">
        <v>-0.15812320898688459</v>
      </c>
      <c r="J211" s="46">
        <v>0.24438058661426587</v>
      </c>
    </row>
    <row r="212" spans="1:10" ht="11.25" customHeight="1" x14ac:dyDescent="0.2">
      <c r="A212" s="55">
        <v>44440</v>
      </c>
      <c r="B212" s="45">
        <v>0</v>
      </c>
      <c r="C212" s="45">
        <v>0</v>
      </c>
      <c r="D212" s="45">
        <v>65.745800000000003</v>
      </c>
      <c r="E212" s="45">
        <v>102.75824138646139</v>
      </c>
      <c r="F212" s="45">
        <v>52.037880000000001</v>
      </c>
      <c r="G212" s="45">
        <v>43.809483425525585</v>
      </c>
      <c r="H212" s="46">
        <v>0.56296282631683536</v>
      </c>
      <c r="I212" s="46">
        <v>-0.15812320898688448</v>
      </c>
      <c r="J212" s="46">
        <v>0.24438058661426587</v>
      </c>
    </row>
    <row r="213" spans="1:10" ht="11.25" customHeight="1" x14ac:dyDescent="0.2">
      <c r="A213" s="55">
        <v>44470</v>
      </c>
      <c r="B213" s="45">
        <v>0</v>
      </c>
      <c r="C213" s="45">
        <v>0</v>
      </c>
      <c r="D213" s="45">
        <v>48.231549999999999</v>
      </c>
      <c r="E213" s="45">
        <v>75.384119705641766</v>
      </c>
      <c r="F213" s="45">
        <v>38.175330000000002</v>
      </c>
      <c r="G213" s="45">
        <v>32.138924316266717</v>
      </c>
      <c r="H213" s="46">
        <v>0.56296282631683559</v>
      </c>
      <c r="I213" s="46">
        <v>-0.15812320898688459</v>
      </c>
      <c r="J213" s="46">
        <v>0.24438058661426587</v>
      </c>
    </row>
    <row r="214" spans="1:10" ht="11.25" customHeight="1" x14ac:dyDescent="0.2">
      <c r="A214" s="55">
        <v>44501</v>
      </c>
      <c r="B214" s="45">
        <v>0</v>
      </c>
      <c r="C214" s="45">
        <v>0</v>
      </c>
      <c r="D214" s="45">
        <v>127.98874999999998</v>
      </c>
      <c r="E214" s="45">
        <v>200.04165843675887</v>
      </c>
      <c r="F214" s="45">
        <v>101.30325000000001</v>
      </c>
      <c r="G214" s="45">
        <v>85.284855029199392</v>
      </c>
      <c r="H214" s="46">
        <v>0.56296282631683559</v>
      </c>
      <c r="I214" s="46">
        <v>-0.15812320898688459</v>
      </c>
      <c r="J214" s="46">
        <v>0.24438058661426609</v>
      </c>
    </row>
    <row r="215" spans="1:10" ht="11.25" customHeight="1" x14ac:dyDescent="0.2">
      <c r="A215" s="55">
        <v>44531</v>
      </c>
      <c r="B215" s="45">
        <v>0</v>
      </c>
      <c r="C215" s="45">
        <v>0</v>
      </c>
      <c r="D215" s="45">
        <v>95.115849999999995</v>
      </c>
      <c r="E215" s="45">
        <v>148.66253774352816</v>
      </c>
      <c r="F215" s="45">
        <v>75.284310000000005</v>
      </c>
      <c r="G215" s="45">
        <v>63.380113316436599</v>
      </c>
      <c r="H215" s="46">
        <v>0.56296282631683536</v>
      </c>
      <c r="I215" s="46">
        <v>-0.15812320898688459</v>
      </c>
      <c r="J215" s="46">
        <v>0.24438058661426587</v>
      </c>
    </row>
    <row r="216" spans="1:10" ht="11.25" customHeight="1" x14ac:dyDescent="0.2">
      <c r="A216" s="55">
        <v>44562</v>
      </c>
      <c r="B216" s="45">
        <v>0</v>
      </c>
      <c r="C216" s="45">
        <v>0</v>
      </c>
      <c r="D216" s="45">
        <v>218.79340000000002</v>
      </c>
      <c r="E216" s="45">
        <v>341.9659508434699</v>
      </c>
      <c r="F216" s="45">
        <v>173.17524000000003</v>
      </c>
      <c r="G216" s="45">
        <v>145.79221533412613</v>
      </c>
      <c r="H216" s="46">
        <v>0.56296282631683536</v>
      </c>
      <c r="I216" s="46">
        <v>-0.15812320898688459</v>
      </c>
      <c r="J216" s="46">
        <v>0.24438058661426587</v>
      </c>
    </row>
    <row r="217" spans="1:10" ht="11.25" customHeight="1" x14ac:dyDescent="0.2">
      <c r="A217" s="55">
        <v>44593</v>
      </c>
      <c r="B217" s="45">
        <v>0</v>
      </c>
      <c r="C217" s="45">
        <v>0</v>
      </c>
      <c r="D217" s="45">
        <v>238.73269999999999</v>
      </c>
      <c r="E217" s="45">
        <v>373.13033552624916</v>
      </c>
      <c r="F217" s="45">
        <v>188.95722000000001</v>
      </c>
      <c r="G217" s="45">
        <v>159.0786980123593</v>
      </c>
      <c r="H217" s="46">
        <v>0.56296282631683536</v>
      </c>
      <c r="I217" s="46">
        <v>-0.15812320898688448</v>
      </c>
      <c r="J217" s="46">
        <v>0.24438058661426565</v>
      </c>
    </row>
    <row r="218" spans="1:10" ht="11.25" customHeight="1" x14ac:dyDescent="0.2">
      <c r="A218" s="55">
        <v>44621</v>
      </c>
      <c r="B218" s="45">
        <v>0</v>
      </c>
      <c r="C218" s="45">
        <v>0</v>
      </c>
      <c r="D218" s="45">
        <v>292.35325</v>
      </c>
      <c r="E218" s="45">
        <v>456.93726190291233</v>
      </c>
      <c r="F218" s="45">
        <v>231.39795000000001</v>
      </c>
      <c r="G218" s="45">
        <v>194.80856359301336</v>
      </c>
      <c r="H218" s="46">
        <v>0.56296282631683536</v>
      </c>
      <c r="I218" s="46">
        <v>-0.15812320898688448</v>
      </c>
      <c r="J218" s="46">
        <v>0.24438058661426587</v>
      </c>
    </row>
    <row r="219" spans="1:10" ht="11.25" customHeight="1" x14ac:dyDescent="0.2">
      <c r="A219" s="55">
        <v>44652</v>
      </c>
      <c r="B219" s="45">
        <v>0</v>
      </c>
      <c r="C219" s="45">
        <v>0</v>
      </c>
      <c r="D219" s="45">
        <v>282.92250000000001</v>
      </c>
      <c r="E219" s="45">
        <v>442.19735022862488</v>
      </c>
      <c r="F219" s="45">
        <v>223.93350000000001</v>
      </c>
      <c r="G219" s="45">
        <v>188.52441638033551</v>
      </c>
      <c r="H219" s="46">
        <v>0.56296282631683536</v>
      </c>
      <c r="I219" s="46">
        <v>-0.15812320898688448</v>
      </c>
      <c r="J219" s="46">
        <v>0.24438058661426587</v>
      </c>
    </row>
    <row r="220" spans="1:10" ht="11.25" customHeight="1" x14ac:dyDescent="0.2">
      <c r="A220" s="55">
        <v>44682</v>
      </c>
      <c r="B220" s="45">
        <v>0</v>
      </c>
      <c r="C220" s="45">
        <v>0</v>
      </c>
      <c r="D220" s="45">
        <v>187.26774999999998</v>
      </c>
      <c r="E220" s="45">
        <v>292.69253181799456</v>
      </c>
      <c r="F220" s="45">
        <v>148.22264999999999</v>
      </c>
      <c r="G220" s="45">
        <v>124.78520893746015</v>
      </c>
      <c r="H220" s="46">
        <v>0.56296282631683559</v>
      </c>
      <c r="I220" s="46">
        <v>-0.15812320898688448</v>
      </c>
      <c r="J220" s="46">
        <v>0.24438058661426609</v>
      </c>
    </row>
    <row r="221" spans="1:10" ht="11.25" customHeight="1" x14ac:dyDescent="0.2">
      <c r="A221" s="55">
        <v>44713</v>
      </c>
      <c r="B221" s="45">
        <v>0</v>
      </c>
      <c r="C221" s="45">
        <v>0</v>
      </c>
      <c r="D221" s="45">
        <v>56.315049999999992</v>
      </c>
      <c r="E221" s="45">
        <v>88.018329712173895</v>
      </c>
      <c r="F221" s="45">
        <v>44.573430000000002</v>
      </c>
      <c r="G221" s="45">
        <v>37.525336212847733</v>
      </c>
      <c r="H221" s="46">
        <v>0.56296282631683559</v>
      </c>
      <c r="I221" s="46">
        <v>-0.15812320898688448</v>
      </c>
      <c r="J221" s="46">
        <v>0.24438058661426609</v>
      </c>
    </row>
    <row r="222" spans="1:10" ht="11.25" customHeight="1" x14ac:dyDescent="0.2">
      <c r="A222" s="55">
        <v>44743</v>
      </c>
      <c r="B222" s="45">
        <v>0</v>
      </c>
      <c r="C222" s="45">
        <v>0</v>
      </c>
      <c r="D222" s="45">
        <v>43.112000000000002</v>
      </c>
      <c r="E222" s="45">
        <v>67.382453368171412</v>
      </c>
      <c r="F222" s="45">
        <v>34.123200000000004</v>
      </c>
      <c r="G222" s="45">
        <v>28.727530115098745</v>
      </c>
      <c r="H222" s="46">
        <v>0.56296282631683536</v>
      </c>
      <c r="I222" s="46">
        <v>-0.15812320898688459</v>
      </c>
      <c r="J222" s="46">
        <v>0.24438058661426587</v>
      </c>
    </row>
    <row r="223" spans="1:10" ht="11.25" customHeight="1" x14ac:dyDescent="0.2">
      <c r="A223" s="55">
        <v>44774</v>
      </c>
      <c r="B223" s="45">
        <v>0</v>
      </c>
      <c r="C223" s="45">
        <v>0</v>
      </c>
      <c r="D223" s="45">
        <v>43.112000000000002</v>
      </c>
      <c r="E223" s="45">
        <v>67.382453368171412</v>
      </c>
      <c r="F223" s="45">
        <v>34.123200000000004</v>
      </c>
      <c r="G223" s="45">
        <v>28.727530115098745</v>
      </c>
      <c r="H223" s="46">
        <v>0.56296282631683536</v>
      </c>
      <c r="I223" s="46">
        <v>-0.15812320898688459</v>
      </c>
      <c r="J223" s="46">
        <v>0.24438058661426587</v>
      </c>
    </row>
    <row r="224" spans="1:10" ht="11.25" customHeight="1" x14ac:dyDescent="0.2">
      <c r="A224" s="52" t="s">
        <v>53</v>
      </c>
      <c r="B224" s="45">
        <v>0</v>
      </c>
      <c r="C224" s="45">
        <v>0</v>
      </c>
      <c r="D224" s="45">
        <v>2518.0641400000004</v>
      </c>
      <c r="E224" s="45">
        <v>3935.6406451014709</v>
      </c>
      <c r="F224" s="45">
        <v>1993.0508040000002</v>
      </c>
      <c r="G224" s="45">
        <v>1677.9032151976301</v>
      </c>
      <c r="H224" s="46">
        <v>0.56296282631683492</v>
      </c>
      <c r="I224" s="46">
        <v>-0.15812320898688448</v>
      </c>
      <c r="J224" s="46">
        <v>0.24438058661426565</v>
      </c>
    </row>
    <row r="225" spans="1:10" ht="11.25" customHeight="1" x14ac:dyDescent="0.2">
      <c r="A225" s="53" t="s">
        <v>25</v>
      </c>
      <c r="B225" s="45">
        <v>0</v>
      </c>
      <c r="C225" s="45">
        <v>0</v>
      </c>
      <c r="D225" s="45">
        <v>2518.0641400000004</v>
      </c>
      <c r="E225" s="45">
        <v>3935.6406451014709</v>
      </c>
      <c r="F225" s="45">
        <v>1993.0508040000002</v>
      </c>
      <c r="G225" s="45">
        <v>1677.9032151976301</v>
      </c>
      <c r="H225" s="46">
        <v>0.56296282631683492</v>
      </c>
      <c r="I225" s="46">
        <v>-0.15812320898688448</v>
      </c>
      <c r="J225" s="46">
        <v>0.24438058661426565</v>
      </c>
    </row>
    <row r="226" spans="1:10" ht="11.25" customHeight="1" x14ac:dyDescent="0.2">
      <c r="A226" s="54" t="s">
        <v>25</v>
      </c>
      <c r="B226" s="45">
        <v>0</v>
      </c>
      <c r="C226" s="45">
        <v>0</v>
      </c>
      <c r="D226" s="45">
        <v>2518.0641400000004</v>
      </c>
      <c r="E226" s="45">
        <v>3935.6406451014709</v>
      </c>
      <c r="F226" s="45">
        <v>1993.0508040000002</v>
      </c>
      <c r="G226" s="45">
        <v>1677.9032151976301</v>
      </c>
      <c r="H226" s="46">
        <v>0.56296282631683492</v>
      </c>
      <c r="I226" s="46">
        <v>-0.15812320898688448</v>
      </c>
      <c r="J226" s="46">
        <v>0.24438058661426565</v>
      </c>
    </row>
    <row r="227" spans="1:10" ht="11.25" customHeight="1" x14ac:dyDescent="0.2">
      <c r="A227" s="55">
        <v>44440</v>
      </c>
      <c r="B227" s="45">
        <v>0</v>
      </c>
      <c r="C227" s="45">
        <v>0</v>
      </c>
      <c r="D227" s="45">
        <v>105.0855</v>
      </c>
      <c r="E227" s="45">
        <v>164.24473008491782</v>
      </c>
      <c r="F227" s="45">
        <v>83.175300000000007</v>
      </c>
      <c r="G227" s="45">
        <v>70.023354655553192</v>
      </c>
      <c r="H227" s="46">
        <v>0.56296282631683559</v>
      </c>
      <c r="I227" s="46">
        <v>-0.15812320898688448</v>
      </c>
      <c r="J227" s="46">
        <v>0.24438058661426587</v>
      </c>
    </row>
    <row r="228" spans="1:10" ht="11.25" customHeight="1" x14ac:dyDescent="0.2">
      <c r="A228" s="55">
        <v>44470</v>
      </c>
      <c r="B228" s="45">
        <v>0</v>
      </c>
      <c r="C228" s="45">
        <v>0</v>
      </c>
      <c r="D228" s="45">
        <v>152.72425999999999</v>
      </c>
      <c r="E228" s="45">
        <v>238.7023410567472</v>
      </c>
      <c r="F228" s="45">
        <v>120.88143599999999</v>
      </c>
      <c r="G228" s="45">
        <v>101.76727543273729</v>
      </c>
      <c r="H228" s="46">
        <v>0.56296282631683536</v>
      </c>
      <c r="I228" s="46">
        <v>-0.15812320898688448</v>
      </c>
      <c r="J228" s="46">
        <v>0.24438058661426609</v>
      </c>
    </row>
    <row r="229" spans="1:10" ht="11.25" customHeight="1" x14ac:dyDescent="0.2">
      <c r="A229" s="55">
        <v>44501</v>
      </c>
      <c r="B229" s="45">
        <v>0</v>
      </c>
      <c r="C229" s="45">
        <v>0</v>
      </c>
      <c r="D229" s="45">
        <v>175.89696000000001</v>
      </c>
      <c r="E229" s="45">
        <v>274.92040974213938</v>
      </c>
      <c r="F229" s="45">
        <v>139.22265600000003</v>
      </c>
      <c r="G229" s="45">
        <v>117.20832286960288</v>
      </c>
      <c r="H229" s="46">
        <v>0.56296282631683559</v>
      </c>
      <c r="I229" s="46">
        <v>-0.15812320898688459</v>
      </c>
      <c r="J229" s="46">
        <v>0.24438058661426587</v>
      </c>
    </row>
    <row r="230" spans="1:10" ht="11.25" customHeight="1" x14ac:dyDescent="0.2">
      <c r="A230" s="55">
        <v>44531</v>
      </c>
      <c r="B230" s="45">
        <v>0</v>
      </c>
      <c r="C230" s="45">
        <v>0</v>
      </c>
      <c r="D230" s="45">
        <v>257.48642000000001</v>
      </c>
      <c r="E230" s="45">
        <v>402.44170274140373</v>
      </c>
      <c r="F230" s="45">
        <v>203.80081200000001</v>
      </c>
      <c r="G230" s="45">
        <v>171.57517361242725</v>
      </c>
      <c r="H230" s="46">
        <v>0.56296282631683536</v>
      </c>
      <c r="I230" s="46">
        <v>-0.15812320898688448</v>
      </c>
      <c r="J230" s="46">
        <v>0.24438058661426587</v>
      </c>
    </row>
    <row r="231" spans="1:10" ht="11.25" customHeight="1" x14ac:dyDescent="0.2">
      <c r="A231" s="55">
        <v>44562</v>
      </c>
      <c r="B231" s="45">
        <v>0</v>
      </c>
      <c r="C231" s="45">
        <v>0</v>
      </c>
      <c r="D231" s="45">
        <v>368.60759999999999</v>
      </c>
      <c r="E231" s="45">
        <v>576.11997629786561</v>
      </c>
      <c r="F231" s="45">
        <v>291.75336000000004</v>
      </c>
      <c r="G231" s="45">
        <v>245.62038248409428</v>
      </c>
      <c r="H231" s="46">
        <v>0.56296282631683559</v>
      </c>
      <c r="I231" s="46">
        <v>-0.15812320898688448</v>
      </c>
      <c r="J231" s="46">
        <v>0.24438058661426609</v>
      </c>
    </row>
    <row r="232" spans="1:10" ht="11.25" customHeight="1" x14ac:dyDescent="0.2">
      <c r="A232" s="55">
        <v>44593</v>
      </c>
      <c r="B232" s="45">
        <v>0</v>
      </c>
      <c r="C232" s="45">
        <v>0</v>
      </c>
      <c r="D232" s="45">
        <v>426.26990000000001</v>
      </c>
      <c r="E232" s="45">
        <v>666.2440076777948</v>
      </c>
      <c r="F232" s="45">
        <v>337.39314000000002</v>
      </c>
      <c r="G232" s="45">
        <v>284.04345401303885</v>
      </c>
      <c r="H232" s="46">
        <v>0.56296282631683536</v>
      </c>
      <c r="I232" s="46">
        <v>-0.15812320898688448</v>
      </c>
      <c r="J232" s="46">
        <v>0.24438058661426587</v>
      </c>
    </row>
    <row r="233" spans="1:10" ht="11.25" customHeight="1" x14ac:dyDescent="0.2">
      <c r="A233" s="55">
        <v>44621</v>
      </c>
      <c r="B233" s="45">
        <v>0</v>
      </c>
      <c r="C233" s="45">
        <v>0</v>
      </c>
      <c r="D233" s="45">
        <v>256.62418000000002</v>
      </c>
      <c r="E233" s="45">
        <v>401.09405367404031</v>
      </c>
      <c r="F233" s="45">
        <v>203.11834800000003</v>
      </c>
      <c r="G233" s="45">
        <v>171.00062301012528</v>
      </c>
      <c r="H233" s="46">
        <v>0.56296282631683536</v>
      </c>
      <c r="I233" s="46">
        <v>-0.15812320898688459</v>
      </c>
      <c r="J233" s="46">
        <v>0.24438058661426587</v>
      </c>
    </row>
    <row r="234" spans="1:10" ht="11.25" customHeight="1" x14ac:dyDescent="0.2">
      <c r="A234" s="55">
        <v>44652</v>
      </c>
      <c r="B234" s="45">
        <v>0</v>
      </c>
      <c r="C234" s="45">
        <v>0</v>
      </c>
      <c r="D234" s="45">
        <v>310.40639999999996</v>
      </c>
      <c r="E234" s="45">
        <v>485.15366425083408</v>
      </c>
      <c r="F234" s="45">
        <v>245.68704</v>
      </c>
      <c r="G234" s="45">
        <v>206.83821682871093</v>
      </c>
      <c r="H234" s="46">
        <v>0.56296282631683536</v>
      </c>
      <c r="I234" s="46">
        <v>-0.15812320898688459</v>
      </c>
      <c r="J234" s="46">
        <v>0.24438058661426587</v>
      </c>
    </row>
    <row r="235" spans="1:10" ht="11.25" customHeight="1" x14ac:dyDescent="0.2">
      <c r="A235" s="55">
        <v>44682</v>
      </c>
      <c r="B235" s="45">
        <v>0</v>
      </c>
      <c r="C235" s="45">
        <v>0</v>
      </c>
      <c r="D235" s="45">
        <v>313.31646000000001</v>
      </c>
      <c r="E235" s="45">
        <v>489.70197985318572</v>
      </c>
      <c r="F235" s="45">
        <v>247.99035600000002</v>
      </c>
      <c r="G235" s="45">
        <v>208.77732511148014</v>
      </c>
      <c r="H235" s="46">
        <v>0.56296282631683536</v>
      </c>
      <c r="I235" s="46">
        <v>-0.15812320898688448</v>
      </c>
      <c r="J235" s="46">
        <v>0.24438058661426587</v>
      </c>
    </row>
    <row r="236" spans="1:10" ht="11.25" customHeight="1" x14ac:dyDescent="0.2">
      <c r="A236" s="55">
        <v>44713</v>
      </c>
      <c r="B236" s="45">
        <v>0</v>
      </c>
      <c r="C236" s="45">
        <v>0</v>
      </c>
      <c r="D236" s="45">
        <v>57.877859999999998</v>
      </c>
      <c r="E236" s="45">
        <v>90.460943646770119</v>
      </c>
      <c r="F236" s="45">
        <v>45.810395999999997</v>
      </c>
      <c r="G236" s="45">
        <v>38.566709179520061</v>
      </c>
      <c r="H236" s="46">
        <v>0.56296282631683559</v>
      </c>
      <c r="I236" s="46">
        <v>-0.15812320898688448</v>
      </c>
      <c r="J236" s="46">
        <v>0.24438058661426609</v>
      </c>
    </row>
    <row r="237" spans="1:10" ht="11.25" customHeight="1" x14ac:dyDescent="0.2">
      <c r="A237" s="55">
        <v>44743</v>
      </c>
      <c r="B237" s="45">
        <v>0</v>
      </c>
      <c r="C237" s="45">
        <v>0</v>
      </c>
      <c r="D237" s="45">
        <v>46.884299999999996</v>
      </c>
      <c r="E237" s="45">
        <v>73.278418037886397</v>
      </c>
      <c r="F237" s="45">
        <v>37.108980000000003</v>
      </c>
      <c r="G237" s="45">
        <v>31.241189000169882</v>
      </c>
      <c r="H237" s="46">
        <v>0.56296282631683536</v>
      </c>
      <c r="I237" s="46">
        <v>-0.15812320898688459</v>
      </c>
      <c r="J237" s="46">
        <v>0.24438058661426587</v>
      </c>
    </row>
    <row r="238" spans="1:10" ht="11.25" customHeight="1" x14ac:dyDescent="0.2">
      <c r="A238" s="55">
        <v>44774</v>
      </c>
      <c r="B238" s="45">
        <v>0</v>
      </c>
      <c r="C238" s="45">
        <v>0</v>
      </c>
      <c r="D238" s="45">
        <v>46.884299999999996</v>
      </c>
      <c r="E238" s="45">
        <v>73.278418037886397</v>
      </c>
      <c r="F238" s="45">
        <v>37.108980000000003</v>
      </c>
      <c r="G238" s="45">
        <v>31.241189000169882</v>
      </c>
      <c r="H238" s="46">
        <v>0.56296282631683536</v>
      </c>
      <c r="I238" s="46">
        <v>-0.15812320898688459</v>
      </c>
      <c r="J238" s="46">
        <v>0.24438058661426587</v>
      </c>
    </row>
    <row r="239" spans="1:10" ht="11.25" customHeight="1" x14ac:dyDescent="0.2">
      <c r="A239" s="51" t="s">
        <v>25</v>
      </c>
      <c r="B239" s="45">
        <v>0</v>
      </c>
      <c r="C239" s="45">
        <v>0</v>
      </c>
      <c r="D239" s="45">
        <v>1443117.0765999998</v>
      </c>
      <c r="E239" s="45">
        <v>2255538.3447488253</v>
      </c>
      <c r="F239" s="45">
        <v>1142228.9067599999</v>
      </c>
      <c r="G239" s="45">
        <v>961616.00662552787</v>
      </c>
      <c r="H239" s="46">
        <v>0.56296282631683581</v>
      </c>
      <c r="I239" s="46">
        <v>-0.15812320898688426</v>
      </c>
      <c r="J239" s="46">
        <v>0.24438058661426632</v>
      </c>
    </row>
    <row r="240" spans="1:10" ht="11.25" customHeight="1" x14ac:dyDescent="0.2">
      <c r="A240" s="52" t="s">
        <v>25</v>
      </c>
      <c r="B240" s="45">
        <v>0</v>
      </c>
      <c r="C240" s="45">
        <v>0</v>
      </c>
      <c r="D240" s="45">
        <v>1443117.0765999998</v>
      </c>
      <c r="E240" s="45">
        <v>2255538.3447488253</v>
      </c>
      <c r="F240" s="45">
        <v>1142228.9067599999</v>
      </c>
      <c r="G240" s="45">
        <v>961616.00662552787</v>
      </c>
      <c r="H240" s="46">
        <v>0.56296282631683581</v>
      </c>
      <c r="I240" s="46">
        <v>-0.15812320898688426</v>
      </c>
      <c r="J240" s="46">
        <v>0.24438058661426632</v>
      </c>
    </row>
    <row r="241" spans="1:10" ht="11.25" customHeight="1" x14ac:dyDescent="0.2">
      <c r="A241" s="53" t="s">
        <v>25</v>
      </c>
      <c r="B241" s="45">
        <v>0</v>
      </c>
      <c r="C241" s="45">
        <v>0</v>
      </c>
      <c r="D241" s="45">
        <v>1443117.0765999998</v>
      </c>
      <c r="E241" s="45">
        <v>2255538.3447488253</v>
      </c>
      <c r="F241" s="45">
        <v>1142228.9067599999</v>
      </c>
      <c r="G241" s="45">
        <v>961616.00662552787</v>
      </c>
      <c r="H241" s="46">
        <v>0.56296282631683581</v>
      </c>
      <c r="I241" s="46">
        <v>-0.15812320898688426</v>
      </c>
      <c r="J241" s="46">
        <v>0.24438058661426632</v>
      </c>
    </row>
    <row r="242" spans="1:10" ht="11.25" customHeight="1" x14ac:dyDescent="0.2">
      <c r="A242" s="54" t="s">
        <v>25</v>
      </c>
      <c r="B242" s="45">
        <v>0</v>
      </c>
      <c r="C242" s="45">
        <v>0</v>
      </c>
      <c r="D242" s="45">
        <v>1443117.0765999998</v>
      </c>
      <c r="E242" s="45">
        <v>2255538.3447488253</v>
      </c>
      <c r="F242" s="45">
        <v>1142228.9067599999</v>
      </c>
      <c r="G242" s="45">
        <v>961616.00662552787</v>
      </c>
      <c r="H242" s="46">
        <v>0.56296282631683581</v>
      </c>
      <c r="I242" s="46">
        <v>-0.15812320898688426</v>
      </c>
      <c r="J242" s="46">
        <v>0.24438058661426632</v>
      </c>
    </row>
    <row r="243" spans="1:10" ht="11.25" customHeight="1" x14ac:dyDescent="0.2">
      <c r="A243" s="55">
        <v>44440</v>
      </c>
      <c r="B243" s="45">
        <v>0</v>
      </c>
      <c r="C243" s="45">
        <v>0</v>
      </c>
      <c r="D243" s="45">
        <v>100249.68084999999</v>
      </c>
      <c r="E243" s="45">
        <v>156686.52451867671</v>
      </c>
      <c r="F243" s="45">
        <v>79347.743310000005</v>
      </c>
      <c r="G243" s="45">
        <v>66801.023511955209</v>
      </c>
      <c r="H243" s="46">
        <v>0.56296282631683536</v>
      </c>
      <c r="I243" s="46">
        <v>-0.15812320898688448</v>
      </c>
      <c r="J243" s="46">
        <v>0.24438058661426587</v>
      </c>
    </row>
    <row r="244" spans="1:10" ht="11.25" customHeight="1" x14ac:dyDescent="0.2">
      <c r="A244" s="55">
        <v>44470</v>
      </c>
      <c r="B244" s="45">
        <v>0</v>
      </c>
      <c r="C244" s="45">
        <v>0</v>
      </c>
      <c r="D244" s="45">
        <v>106037.19739999999</v>
      </c>
      <c r="E244" s="45">
        <v>165732.19774302017</v>
      </c>
      <c r="F244" s="45">
        <v>83928.569640000002</v>
      </c>
      <c r="G244" s="45">
        <v>70657.514882844</v>
      </c>
      <c r="H244" s="46">
        <v>0.56296282631683536</v>
      </c>
      <c r="I244" s="46">
        <v>-0.15812320898688437</v>
      </c>
      <c r="J244" s="46">
        <v>0.24438058661426587</v>
      </c>
    </row>
    <row r="245" spans="1:10" ht="11.25" customHeight="1" x14ac:dyDescent="0.2">
      <c r="A245" s="55">
        <v>44501</v>
      </c>
      <c r="B245" s="45">
        <v>0</v>
      </c>
      <c r="C245" s="45">
        <v>0</v>
      </c>
      <c r="D245" s="45">
        <v>136944.99854999999</v>
      </c>
      <c r="E245" s="45">
        <v>214039.94198366292</v>
      </c>
      <c r="F245" s="45">
        <v>108392.13153000001</v>
      </c>
      <c r="G245" s="45">
        <v>91252.819863547935</v>
      </c>
      <c r="H245" s="46">
        <v>0.56296282631683559</v>
      </c>
      <c r="I245" s="46">
        <v>-0.15812320898688459</v>
      </c>
      <c r="J245" s="46">
        <v>0.24438058661426587</v>
      </c>
    </row>
    <row r="246" spans="1:10" ht="11.25" customHeight="1" x14ac:dyDescent="0.2">
      <c r="A246" s="55">
        <v>44531</v>
      </c>
      <c r="B246" s="45">
        <v>0</v>
      </c>
      <c r="C246" s="45">
        <v>0</v>
      </c>
      <c r="D246" s="45">
        <v>145986.93219999998</v>
      </c>
      <c r="E246" s="45">
        <v>228172.14815663619</v>
      </c>
      <c r="F246" s="45">
        <v>115548.83292</v>
      </c>
      <c r="G246" s="45">
        <v>97277.880664000244</v>
      </c>
      <c r="H246" s="46">
        <v>0.56296282631683536</v>
      </c>
      <c r="I246" s="46">
        <v>-0.15812320898688448</v>
      </c>
      <c r="J246" s="46">
        <v>0.24438058661426587</v>
      </c>
    </row>
    <row r="247" spans="1:10" ht="11.25" customHeight="1" x14ac:dyDescent="0.2">
      <c r="A247" s="55">
        <v>44562</v>
      </c>
      <c r="B247" s="45">
        <v>0</v>
      </c>
      <c r="C247" s="45">
        <v>0</v>
      </c>
      <c r="D247" s="45">
        <v>143413.1458</v>
      </c>
      <c r="E247" s="45">
        <v>224149.41569055643</v>
      </c>
      <c r="F247" s="45">
        <v>113511.67788000002</v>
      </c>
      <c r="G247" s="45">
        <v>95562.847116128847</v>
      </c>
      <c r="H247" s="46">
        <v>0.56296282631683559</v>
      </c>
      <c r="I247" s="46">
        <v>-0.15812320898688459</v>
      </c>
      <c r="J247" s="46">
        <v>0.24438058661426587</v>
      </c>
    </row>
    <row r="248" spans="1:10" ht="11.25" customHeight="1" x14ac:dyDescent="0.2">
      <c r="A248" s="55">
        <v>44593</v>
      </c>
      <c r="B248" s="45">
        <v>0</v>
      </c>
      <c r="C248" s="45">
        <v>0</v>
      </c>
      <c r="D248" s="45">
        <v>141909.88425</v>
      </c>
      <c r="E248" s="45">
        <v>221799.87376967494</v>
      </c>
      <c r="F248" s="45">
        <v>112321.84454999999</v>
      </c>
      <c r="G248" s="45">
        <v>94561.154050427984</v>
      </c>
      <c r="H248" s="46">
        <v>0.56296282631683514</v>
      </c>
      <c r="I248" s="46">
        <v>-0.15812320898688459</v>
      </c>
      <c r="J248" s="46">
        <v>0.24438058661426587</v>
      </c>
    </row>
    <row r="249" spans="1:10" ht="11.25" customHeight="1" x14ac:dyDescent="0.2">
      <c r="A249" s="55">
        <v>44621</v>
      </c>
      <c r="B249" s="45">
        <v>0</v>
      </c>
      <c r="C249" s="45">
        <v>0</v>
      </c>
      <c r="D249" s="45">
        <v>125528.40204999999</v>
      </c>
      <c r="E249" s="45">
        <v>196196.22605110408</v>
      </c>
      <c r="F249" s="45">
        <v>99355.881630000003</v>
      </c>
      <c r="G249" s="45">
        <v>83645.410794943353</v>
      </c>
      <c r="H249" s="46">
        <v>0.56296282631683581</v>
      </c>
      <c r="I249" s="46">
        <v>-0.15812320898688448</v>
      </c>
      <c r="J249" s="46">
        <v>0.24438058661426609</v>
      </c>
    </row>
    <row r="250" spans="1:10" ht="11.25" customHeight="1" x14ac:dyDescent="0.2">
      <c r="A250" s="55">
        <v>44652</v>
      </c>
      <c r="B250" s="45">
        <v>0</v>
      </c>
      <c r="C250" s="45">
        <v>0</v>
      </c>
      <c r="D250" s="45">
        <v>136614.38339999996</v>
      </c>
      <c r="E250" s="45">
        <v>213523.20279439577</v>
      </c>
      <c r="F250" s="45">
        <v>108130.44924</v>
      </c>
      <c r="G250" s="45">
        <v>91032.515616977762</v>
      </c>
      <c r="H250" s="46">
        <v>0.56296282631683581</v>
      </c>
      <c r="I250" s="46">
        <v>-0.15812320898688459</v>
      </c>
      <c r="J250" s="46">
        <v>0.24438058661426609</v>
      </c>
    </row>
    <row r="251" spans="1:10" ht="11.25" customHeight="1" x14ac:dyDescent="0.2">
      <c r="A251" s="55">
        <v>44682</v>
      </c>
      <c r="B251" s="45">
        <v>0</v>
      </c>
      <c r="C251" s="45">
        <v>0</v>
      </c>
      <c r="D251" s="45">
        <v>110326.30250000001</v>
      </c>
      <c r="E251" s="45">
        <v>172435.90957248618</v>
      </c>
      <c r="F251" s="45">
        <v>87323.401500000022</v>
      </c>
      <c r="G251" s="45">
        <v>73515.545035169882</v>
      </c>
      <c r="H251" s="46">
        <v>0.56296282631683559</v>
      </c>
      <c r="I251" s="46">
        <v>-0.1581232089868847</v>
      </c>
      <c r="J251" s="46">
        <v>0.24438058661426587</v>
      </c>
    </row>
    <row r="252" spans="1:10" ht="11.25" customHeight="1" x14ac:dyDescent="0.2">
      <c r="A252" s="55">
        <v>44713</v>
      </c>
      <c r="B252" s="45">
        <v>0</v>
      </c>
      <c r="C252" s="45">
        <v>0</v>
      </c>
      <c r="D252" s="45">
        <v>105249.86450000001</v>
      </c>
      <c r="E252" s="45">
        <v>164501.625688384</v>
      </c>
      <c r="F252" s="45">
        <v>83305.394700000019</v>
      </c>
      <c r="G252" s="45">
        <v>70132.878364117001</v>
      </c>
      <c r="H252" s="46">
        <v>0.56296282631683559</v>
      </c>
      <c r="I252" s="46">
        <v>-0.1581232089868847</v>
      </c>
      <c r="J252" s="46">
        <v>0.24438058661426587</v>
      </c>
    </row>
    <row r="253" spans="1:10" ht="11.25" customHeight="1" x14ac:dyDescent="0.2">
      <c r="A253" s="55">
        <v>44743</v>
      </c>
      <c r="B253" s="45">
        <v>0</v>
      </c>
      <c r="C253" s="45">
        <v>0</v>
      </c>
      <c r="D253" s="45">
        <v>95428.142550000019</v>
      </c>
      <c r="E253" s="45">
        <v>149150.63939011391</v>
      </c>
      <c r="F253" s="45">
        <v>75531.489929999996</v>
      </c>
      <c r="G253" s="45">
        <v>63588.208362707854</v>
      </c>
      <c r="H253" s="46">
        <v>0.56296282631683559</v>
      </c>
      <c r="I253" s="46">
        <v>-0.15812320898688437</v>
      </c>
      <c r="J253" s="46">
        <v>0.24438058661426587</v>
      </c>
    </row>
    <row r="254" spans="1:10" ht="11.25" customHeight="1" x14ac:dyDescent="0.2">
      <c r="A254" s="55">
        <v>44774</v>
      </c>
      <c r="B254" s="45">
        <v>0</v>
      </c>
      <c r="C254" s="45">
        <v>0</v>
      </c>
      <c r="D254" s="45">
        <v>95428.142550000019</v>
      </c>
      <c r="E254" s="45">
        <v>149150.63939011391</v>
      </c>
      <c r="F254" s="45">
        <v>75531.489929999996</v>
      </c>
      <c r="G254" s="45">
        <v>63588.208362707854</v>
      </c>
      <c r="H254" s="46">
        <v>0.56296282631683559</v>
      </c>
      <c r="I254" s="46">
        <v>-0.15812320898688437</v>
      </c>
      <c r="J254" s="46">
        <v>0.24438058661426587</v>
      </c>
    </row>
    <row r="255" spans="1:10" ht="11.25" customHeight="1" x14ac:dyDescent="0.2">
      <c r="A255" s="48" t="s">
        <v>33</v>
      </c>
      <c r="B255" s="45">
        <v>0</v>
      </c>
      <c r="C255" s="45">
        <v>0</v>
      </c>
      <c r="D255" s="45">
        <v>989189.524278</v>
      </c>
      <c r="E255" s="45">
        <v>1447396.5213882558</v>
      </c>
      <c r="F255" s="45">
        <v>782989.03312000027</v>
      </c>
      <c r="G255" s="45">
        <v>617110.74377951608</v>
      </c>
      <c r="H255" s="46">
        <v>0.4632145669402401</v>
      </c>
      <c r="I255" s="46">
        <v>-0.21185263435875168</v>
      </c>
      <c r="J255" s="46">
        <v>0.16495443224354522</v>
      </c>
    </row>
    <row r="256" spans="1:10" ht="11.25" customHeight="1" x14ac:dyDescent="0.2">
      <c r="A256" s="49" t="s">
        <v>40</v>
      </c>
      <c r="B256" s="45">
        <v>0</v>
      </c>
      <c r="C256" s="45">
        <v>0</v>
      </c>
      <c r="D256" s="45">
        <v>3325.9434100000003</v>
      </c>
      <c r="E256" s="45">
        <v>4866.6873796021591</v>
      </c>
      <c r="F256" s="45">
        <v>2676.0286999999985</v>
      </c>
      <c r="G256" s="45">
        <v>2109.1049702853743</v>
      </c>
      <c r="H256" s="46">
        <v>0.46325020593244504</v>
      </c>
      <c r="I256" s="46">
        <v>-0.21185263435875124</v>
      </c>
      <c r="J256" s="46">
        <v>0.16225004415882482</v>
      </c>
    </row>
    <row r="257" spans="1:10" ht="11.25" customHeight="1" x14ac:dyDescent="0.2">
      <c r="A257" s="50" t="s">
        <v>39</v>
      </c>
      <c r="B257" s="45">
        <v>0</v>
      </c>
      <c r="C257" s="45">
        <v>0</v>
      </c>
      <c r="D257" s="45">
        <v>3325.9434100000003</v>
      </c>
      <c r="E257" s="45">
        <v>4866.6873796021591</v>
      </c>
      <c r="F257" s="45">
        <v>2676.0286999999985</v>
      </c>
      <c r="G257" s="45">
        <v>2109.1049702853743</v>
      </c>
      <c r="H257" s="46">
        <v>0.46325020593244504</v>
      </c>
      <c r="I257" s="46">
        <v>-0.21185263435875124</v>
      </c>
      <c r="J257" s="46">
        <v>0.16225004415882482</v>
      </c>
    </row>
    <row r="258" spans="1:10" ht="11.25" customHeight="1" x14ac:dyDescent="0.2">
      <c r="A258" s="51" t="s">
        <v>25</v>
      </c>
      <c r="B258" s="45">
        <v>0</v>
      </c>
      <c r="C258" s="45">
        <v>0</v>
      </c>
      <c r="D258" s="45">
        <v>3325.9434100000003</v>
      </c>
      <c r="E258" s="45">
        <v>4866.6873796021591</v>
      </c>
      <c r="F258" s="45">
        <v>2676.0286999999985</v>
      </c>
      <c r="G258" s="45">
        <v>2109.1049702853743</v>
      </c>
      <c r="H258" s="46">
        <v>0.46325020593244504</v>
      </c>
      <c r="I258" s="46">
        <v>-0.21185263435875124</v>
      </c>
      <c r="J258" s="46">
        <v>0.16225004415882482</v>
      </c>
    </row>
    <row r="259" spans="1:10" ht="11.25" customHeight="1" x14ac:dyDescent="0.2">
      <c r="A259" s="52" t="s">
        <v>25</v>
      </c>
      <c r="B259" s="45">
        <v>0</v>
      </c>
      <c r="C259" s="45">
        <v>0</v>
      </c>
      <c r="D259" s="45">
        <v>3325.9434100000003</v>
      </c>
      <c r="E259" s="45">
        <v>4866.6873796021591</v>
      </c>
      <c r="F259" s="45">
        <v>2676.0286999999985</v>
      </c>
      <c r="G259" s="45">
        <v>2109.1049702853743</v>
      </c>
      <c r="H259" s="46">
        <v>0.46325020593244504</v>
      </c>
      <c r="I259" s="46">
        <v>-0.21185263435875124</v>
      </c>
      <c r="J259" s="46">
        <v>0.16225004415882482</v>
      </c>
    </row>
    <row r="260" spans="1:10" ht="11.25" customHeight="1" x14ac:dyDescent="0.2">
      <c r="A260" s="53" t="s">
        <v>25</v>
      </c>
      <c r="B260" s="45">
        <v>0</v>
      </c>
      <c r="C260" s="45">
        <v>0</v>
      </c>
      <c r="D260" s="45">
        <v>3325.9434100000003</v>
      </c>
      <c r="E260" s="45">
        <v>4866.6873796021591</v>
      </c>
      <c r="F260" s="45">
        <v>2676.0286999999985</v>
      </c>
      <c r="G260" s="45">
        <v>2109.1049702853743</v>
      </c>
      <c r="H260" s="46">
        <v>0.46325020593244504</v>
      </c>
      <c r="I260" s="46">
        <v>-0.21185263435875124</v>
      </c>
      <c r="J260" s="46">
        <v>0.16225004415882482</v>
      </c>
    </row>
    <row r="261" spans="1:10" ht="11.25" customHeight="1" x14ac:dyDescent="0.2">
      <c r="A261" s="54" t="s">
        <v>38</v>
      </c>
      <c r="B261" s="45">
        <v>0</v>
      </c>
      <c r="C261" s="45">
        <v>0</v>
      </c>
      <c r="D261" s="45">
        <v>2239.9266500000003</v>
      </c>
      <c r="E261" s="45">
        <v>3278.2664272819934</v>
      </c>
      <c r="F261" s="45">
        <v>2326.31765</v>
      </c>
      <c r="G261" s="45">
        <v>1833.4811274922395</v>
      </c>
      <c r="H261" s="46">
        <v>0.46355972294092429</v>
      </c>
      <c r="I261" s="46">
        <v>-0.21185263435875168</v>
      </c>
      <c r="J261" s="46">
        <v>0.11946431661009282</v>
      </c>
    </row>
    <row r="262" spans="1:10" ht="11.25" customHeight="1" x14ac:dyDescent="0.2">
      <c r="A262" s="55">
        <v>44440</v>
      </c>
      <c r="B262" s="45">
        <v>0</v>
      </c>
      <c r="C262" s="45">
        <v>0</v>
      </c>
      <c r="D262" s="45">
        <v>126.24235</v>
      </c>
      <c r="E262" s="45">
        <v>184.76321878941124</v>
      </c>
      <c r="F262" s="45">
        <v>131.11135000000002</v>
      </c>
      <c r="G262" s="45">
        <v>103.3350651081677</v>
      </c>
      <c r="H262" s="46">
        <v>0.46355972294092473</v>
      </c>
      <c r="I262" s="46">
        <v>-0.21185263435875168</v>
      </c>
      <c r="J262" s="46">
        <v>0.11946431661009327</v>
      </c>
    </row>
    <row r="263" spans="1:10" ht="11.25" customHeight="1" x14ac:dyDescent="0.2">
      <c r="A263" s="55">
        <v>44470</v>
      </c>
      <c r="B263" s="45">
        <v>0</v>
      </c>
      <c r="C263" s="45">
        <v>0</v>
      </c>
      <c r="D263" s="45">
        <v>130.67600000000002</v>
      </c>
      <c r="E263" s="45">
        <v>191.25213035502827</v>
      </c>
      <c r="F263" s="45">
        <v>135.71600000000001</v>
      </c>
      <c r="G263" s="45">
        <v>106.96420787536768</v>
      </c>
      <c r="H263" s="46">
        <v>0.46355972294092451</v>
      </c>
      <c r="I263" s="46">
        <v>-0.21185263435875157</v>
      </c>
      <c r="J263" s="46">
        <v>0.11946431661009282</v>
      </c>
    </row>
    <row r="264" spans="1:10" ht="11.25" customHeight="1" x14ac:dyDescent="0.2">
      <c r="A264" s="55">
        <v>44501</v>
      </c>
      <c r="B264" s="45">
        <v>0</v>
      </c>
      <c r="C264" s="45">
        <v>0</v>
      </c>
      <c r="D264" s="45">
        <v>147.01050000000001</v>
      </c>
      <c r="E264" s="45">
        <v>215.15864664940679</v>
      </c>
      <c r="F264" s="45">
        <v>152.68049999999999</v>
      </c>
      <c r="G264" s="45">
        <v>120.33473385978863</v>
      </c>
      <c r="H264" s="46">
        <v>0.46355972294092451</v>
      </c>
      <c r="I264" s="46">
        <v>-0.21185263435875157</v>
      </c>
      <c r="J264" s="46">
        <v>0.11946431661009282</v>
      </c>
    </row>
    <row r="265" spans="1:10" ht="11.25" customHeight="1" x14ac:dyDescent="0.2">
      <c r="A265" s="55">
        <v>44531</v>
      </c>
      <c r="B265" s="45">
        <v>0</v>
      </c>
      <c r="C265" s="45">
        <v>0</v>
      </c>
      <c r="D265" s="45">
        <v>174.31244999999998</v>
      </c>
      <c r="E265" s="45">
        <v>255.11668102715376</v>
      </c>
      <c r="F265" s="45">
        <v>181.03545</v>
      </c>
      <c r="G265" s="45">
        <v>142.68261300517793</v>
      </c>
      <c r="H265" s="46">
        <v>0.46355972294092473</v>
      </c>
      <c r="I265" s="46">
        <v>-0.21185263435875168</v>
      </c>
      <c r="J265" s="46">
        <v>0.11946431661009305</v>
      </c>
    </row>
    <row r="266" spans="1:10" ht="11.25" customHeight="1" x14ac:dyDescent="0.2">
      <c r="A266" s="55">
        <v>44562</v>
      </c>
      <c r="B266" s="45">
        <v>0</v>
      </c>
      <c r="C266" s="45">
        <v>0</v>
      </c>
      <c r="D266" s="45">
        <v>200.91434999999998</v>
      </c>
      <c r="E266" s="45">
        <v>294.05015042085591</v>
      </c>
      <c r="F266" s="45">
        <v>208.66334999999998</v>
      </c>
      <c r="G266" s="45">
        <v>164.45746960837778</v>
      </c>
      <c r="H266" s="46">
        <v>0.46355972294092451</v>
      </c>
      <c r="I266" s="46">
        <v>-0.21185263435875157</v>
      </c>
      <c r="J266" s="46">
        <v>0.11946431661009327</v>
      </c>
    </row>
    <row r="267" spans="1:10" ht="11.25" customHeight="1" x14ac:dyDescent="0.2">
      <c r="A267" s="55">
        <v>44593</v>
      </c>
      <c r="B267" s="45">
        <v>0</v>
      </c>
      <c r="C267" s="45">
        <v>0</v>
      </c>
      <c r="D267" s="45">
        <v>294.25434999999999</v>
      </c>
      <c r="E267" s="45">
        <v>430.65881496016181</v>
      </c>
      <c r="F267" s="45">
        <v>305.60334999999998</v>
      </c>
      <c r="G267" s="45">
        <v>240.86047523364039</v>
      </c>
      <c r="H267" s="46">
        <v>0.46355972294092451</v>
      </c>
      <c r="I267" s="46">
        <v>-0.21185263435875157</v>
      </c>
      <c r="J267" s="46">
        <v>0.11946431661009282</v>
      </c>
    </row>
    <row r="268" spans="1:10" ht="11.25" customHeight="1" x14ac:dyDescent="0.2">
      <c r="A268" s="55">
        <v>44621</v>
      </c>
      <c r="B268" s="45">
        <v>0</v>
      </c>
      <c r="C268" s="45">
        <v>0</v>
      </c>
      <c r="D268" s="45">
        <v>226.81619999999998</v>
      </c>
      <c r="E268" s="45">
        <v>331.95905483051331</v>
      </c>
      <c r="F268" s="45">
        <v>235.5642</v>
      </c>
      <c r="G268" s="45">
        <v>185.65930366938815</v>
      </c>
      <c r="H268" s="46">
        <v>0.46355972294092451</v>
      </c>
      <c r="I268" s="46">
        <v>-0.21185263435875168</v>
      </c>
      <c r="J268" s="46">
        <v>0.11946431661009305</v>
      </c>
    </row>
    <row r="269" spans="1:10" ht="11.25" customHeight="1" x14ac:dyDescent="0.2">
      <c r="A269" s="55">
        <v>44652</v>
      </c>
      <c r="B269" s="45">
        <v>0</v>
      </c>
      <c r="C269" s="45">
        <v>0</v>
      </c>
      <c r="D269" s="45">
        <v>212.8152</v>
      </c>
      <c r="E269" s="45">
        <v>311.46775514961746</v>
      </c>
      <c r="F269" s="45">
        <v>221.0232</v>
      </c>
      <c r="G269" s="45">
        <v>174.19885282559878</v>
      </c>
      <c r="H269" s="46">
        <v>0.46355972294092451</v>
      </c>
      <c r="I269" s="46">
        <v>-0.21185263435875157</v>
      </c>
      <c r="J269" s="46">
        <v>0.11946431661009327</v>
      </c>
    </row>
    <row r="270" spans="1:10" ht="11.25" customHeight="1" x14ac:dyDescent="0.2">
      <c r="A270" s="55">
        <v>44682</v>
      </c>
      <c r="B270" s="45">
        <v>0</v>
      </c>
      <c r="C270" s="45">
        <v>0</v>
      </c>
      <c r="D270" s="45">
        <v>196.48069999999998</v>
      </c>
      <c r="E270" s="45">
        <v>287.56123885523891</v>
      </c>
      <c r="F270" s="45">
        <v>204.05869999999999</v>
      </c>
      <c r="G270" s="45">
        <v>160.82832684117781</v>
      </c>
      <c r="H270" s="46">
        <v>0.46355972294092473</v>
      </c>
      <c r="I270" s="46">
        <v>-0.21185263435875157</v>
      </c>
      <c r="J270" s="46">
        <v>0.11946431661009327</v>
      </c>
    </row>
    <row r="271" spans="1:10" ht="11.25" customHeight="1" x14ac:dyDescent="0.2">
      <c r="A271" s="55">
        <v>44713</v>
      </c>
      <c r="B271" s="45">
        <v>0</v>
      </c>
      <c r="C271" s="45">
        <v>0</v>
      </c>
      <c r="D271" s="45">
        <v>184.57984999999999</v>
      </c>
      <c r="E271" s="45">
        <v>270.14363412647742</v>
      </c>
      <c r="F271" s="45">
        <v>191.69884999999999</v>
      </c>
      <c r="G271" s="45">
        <v>151.08694362395684</v>
      </c>
      <c r="H271" s="46">
        <v>0.46355972294092473</v>
      </c>
      <c r="I271" s="46">
        <v>-0.21185263435875157</v>
      </c>
      <c r="J271" s="46">
        <v>0.11946431661009327</v>
      </c>
    </row>
    <row r="272" spans="1:10" ht="11.25" customHeight="1" x14ac:dyDescent="0.2">
      <c r="A272" s="55">
        <v>44743</v>
      </c>
      <c r="B272" s="45">
        <v>0</v>
      </c>
      <c r="C272" s="45">
        <v>0</v>
      </c>
      <c r="D272" s="45">
        <v>172.91235</v>
      </c>
      <c r="E272" s="45">
        <v>253.06755105906416</v>
      </c>
      <c r="F272" s="45">
        <v>179.58134999999999</v>
      </c>
      <c r="G272" s="45">
        <v>141.536567920799</v>
      </c>
      <c r="H272" s="46">
        <v>0.46355972294092451</v>
      </c>
      <c r="I272" s="46">
        <v>-0.21185263435875157</v>
      </c>
      <c r="J272" s="46">
        <v>0.11946431661009327</v>
      </c>
    </row>
    <row r="273" spans="1:10" ht="11.25" customHeight="1" x14ac:dyDescent="0.2">
      <c r="A273" s="55">
        <v>44774</v>
      </c>
      <c r="B273" s="45">
        <v>0</v>
      </c>
      <c r="C273" s="45">
        <v>0</v>
      </c>
      <c r="D273" s="45">
        <v>172.91235</v>
      </c>
      <c r="E273" s="45">
        <v>253.06755105906416</v>
      </c>
      <c r="F273" s="45">
        <v>179.58134999999999</v>
      </c>
      <c r="G273" s="45">
        <v>141.536567920799</v>
      </c>
      <c r="H273" s="46">
        <v>0.46355972294092451</v>
      </c>
      <c r="I273" s="46">
        <v>-0.21185263435875157</v>
      </c>
      <c r="J273" s="46">
        <v>0.11946431661009327</v>
      </c>
    </row>
    <row r="274" spans="1:10" ht="11.25" customHeight="1" x14ac:dyDescent="0.2">
      <c r="A274" s="54" t="s">
        <v>41</v>
      </c>
      <c r="B274" s="45">
        <v>0</v>
      </c>
      <c r="C274" s="45">
        <v>0</v>
      </c>
      <c r="D274" s="45">
        <v>320.59699999999998</v>
      </c>
      <c r="E274" s="45">
        <v>468.95978274612548</v>
      </c>
      <c r="F274" s="45">
        <v>139.35124999999999</v>
      </c>
      <c r="G274" s="45">
        <v>109.82932058631503</v>
      </c>
      <c r="H274" s="46">
        <v>0.46277034016577057</v>
      </c>
      <c r="I274" s="46">
        <v>-0.21185263435875146</v>
      </c>
      <c r="J274" s="46">
        <v>0.25837874876671574</v>
      </c>
    </row>
    <row r="275" spans="1:10" ht="11.25" customHeight="1" x14ac:dyDescent="0.2">
      <c r="A275" s="55">
        <v>44440</v>
      </c>
      <c r="B275" s="45">
        <v>0</v>
      </c>
      <c r="C275" s="45">
        <v>0</v>
      </c>
      <c r="D275" s="45">
        <v>17.841919999999998</v>
      </c>
      <c r="E275" s="45">
        <v>26.09863138761046</v>
      </c>
      <c r="F275" s="45">
        <v>7.7552000000000003</v>
      </c>
      <c r="G275" s="45">
        <v>6.1122404500210097</v>
      </c>
      <c r="H275" s="46">
        <v>0.46277034016577034</v>
      </c>
      <c r="I275" s="46">
        <v>-0.21185263435875157</v>
      </c>
      <c r="J275" s="46">
        <v>0.25837874876671574</v>
      </c>
    </row>
    <row r="276" spans="1:10" ht="11.25" customHeight="1" x14ac:dyDescent="0.2">
      <c r="A276" s="55">
        <v>44470</v>
      </c>
      <c r="B276" s="45">
        <v>0</v>
      </c>
      <c r="C276" s="45">
        <v>0</v>
      </c>
      <c r="D276" s="45">
        <v>19.514600000000002</v>
      </c>
      <c r="E276" s="45">
        <v>28.545378080198944</v>
      </c>
      <c r="F276" s="45">
        <v>8.4822500000000005</v>
      </c>
      <c r="G276" s="45">
        <v>6.6852629922104798</v>
      </c>
      <c r="H276" s="46">
        <v>0.46277034016577034</v>
      </c>
      <c r="I276" s="46">
        <v>-0.21185263435875157</v>
      </c>
      <c r="J276" s="46">
        <v>0.25837874876671574</v>
      </c>
    </row>
    <row r="277" spans="1:10" ht="11.25" customHeight="1" x14ac:dyDescent="0.2">
      <c r="A277" s="55">
        <v>44501</v>
      </c>
      <c r="B277" s="45">
        <v>0</v>
      </c>
      <c r="C277" s="45">
        <v>0</v>
      </c>
      <c r="D277" s="45">
        <v>18.957039999999999</v>
      </c>
      <c r="E277" s="45">
        <v>27.729795849336117</v>
      </c>
      <c r="F277" s="45">
        <v>8.2399000000000004</v>
      </c>
      <c r="G277" s="45">
        <v>6.4942554781473234</v>
      </c>
      <c r="H277" s="46">
        <v>0.46277034016577057</v>
      </c>
      <c r="I277" s="46">
        <v>-0.21185263435875157</v>
      </c>
      <c r="J277" s="46">
        <v>0.25837874876671574</v>
      </c>
    </row>
    <row r="278" spans="1:10" ht="11.25" customHeight="1" x14ac:dyDescent="0.2">
      <c r="A278" s="55">
        <v>44531</v>
      </c>
      <c r="B278" s="45">
        <v>0</v>
      </c>
      <c r="C278" s="45">
        <v>0</v>
      </c>
      <c r="D278" s="45">
        <v>21.187279999999998</v>
      </c>
      <c r="E278" s="45">
        <v>30.992124772787424</v>
      </c>
      <c r="F278" s="45">
        <v>9.2092999999999989</v>
      </c>
      <c r="G278" s="45">
        <v>7.2582855343999491</v>
      </c>
      <c r="H278" s="46">
        <v>0.46277034016577057</v>
      </c>
      <c r="I278" s="46">
        <v>-0.21185263435875146</v>
      </c>
      <c r="J278" s="46">
        <v>0.25837874876671574</v>
      </c>
    </row>
    <row r="279" spans="1:10" ht="11.25" customHeight="1" x14ac:dyDescent="0.2">
      <c r="A279" s="55">
        <v>44562</v>
      </c>
      <c r="B279" s="45">
        <v>0</v>
      </c>
      <c r="C279" s="45">
        <v>0</v>
      </c>
      <c r="D279" s="45">
        <v>27.878</v>
      </c>
      <c r="E279" s="45">
        <v>40.779111543141347</v>
      </c>
      <c r="F279" s="45">
        <v>12.1175</v>
      </c>
      <c r="G279" s="45">
        <v>9.5503757031578278</v>
      </c>
      <c r="H279" s="46">
        <v>0.46277034016577034</v>
      </c>
      <c r="I279" s="46">
        <v>-0.21185263435875157</v>
      </c>
      <c r="J279" s="46">
        <v>0.25837874876671552</v>
      </c>
    </row>
    <row r="280" spans="1:10" ht="11.25" customHeight="1" x14ac:dyDescent="0.2">
      <c r="A280" s="55">
        <v>44593</v>
      </c>
      <c r="B280" s="45">
        <v>0</v>
      </c>
      <c r="C280" s="45">
        <v>0</v>
      </c>
      <c r="D280" s="45">
        <v>38.471640000000001</v>
      </c>
      <c r="E280" s="45">
        <v>56.275173929535065</v>
      </c>
      <c r="F280" s="45">
        <v>16.722150000000003</v>
      </c>
      <c r="G280" s="45">
        <v>13.179518470357802</v>
      </c>
      <c r="H280" s="46">
        <v>0.46277034016577057</v>
      </c>
      <c r="I280" s="46">
        <v>-0.21185263435875168</v>
      </c>
      <c r="J280" s="46">
        <v>0.25837874876671552</v>
      </c>
    </row>
    <row r="281" spans="1:10" ht="11.25" customHeight="1" x14ac:dyDescent="0.2">
      <c r="A281" s="55">
        <v>44621</v>
      </c>
      <c r="B281" s="45">
        <v>0</v>
      </c>
      <c r="C281" s="45">
        <v>0</v>
      </c>
      <c r="D281" s="45">
        <v>28.993119999999998</v>
      </c>
      <c r="E281" s="45">
        <v>42.410276004867001</v>
      </c>
      <c r="F281" s="45">
        <v>12.6022</v>
      </c>
      <c r="G281" s="45">
        <v>9.9323907312841406</v>
      </c>
      <c r="H281" s="46">
        <v>0.46277034016577057</v>
      </c>
      <c r="I281" s="46">
        <v>-0.21185263435875157</v>
      </c>
      <c r="J281" s="46">
        <v>0.25837874876671574</v>
      </c>
    </row>
    <row r="282" spans="1:10" ht="11.25" customHeight="1" x14ac:dyDescent="0.2">
      <c r="A282" s="55">
        <v>44652</v>
      </c>
      <c r="B282" s="45">
        <v>0</v>
      </c>
      <c r="C282" s="45">
        <v>0</v>
      </c>
      <c r="D282" s="45">
        <v>31.780919999999998</v>
      </c>
      <c r="E282" s="45">
        <v>46.488187159181138</v>
      </c>
      <c r="F282" s="45">
        <v>13.81395</v>
      </c>
      <c r="G282" s="45">
        <v>10.887428301599924</v>
      </c>
      <c r="H282" s="46">
        <v>0.46277034016577057</v>
      </c>
      <c r="I282" s="46">
        <v>-0.21185263435875157</v>
      </c>
      <c r="J282" s="46">
        <v>0.25837874876671574</v>
      </c>
    </row>
    <row r="283" spans="1:10" ht="11.25" customHeight="1" x14ac:dyDescent="0.2">
      <c r="A283" s="55">
        <v>44682</v>
      </c>
      <c r="B283" s="45">
        <v>0</v>
      </c>
      <c r="C283" s="45">
        <v>0</v>
      </c>
      <c r="D283" s="45">
        <v>28.993119999999998</v>
      </c>
      <c r="E283" s="45">
        <v>42.410276004867001</v>
      </c>
      <c r="F283" s="45">
        <v>12.6022</v>
      </c>
      <c r="G283" s="45">
        <v>9.9323907312841406</v>
      </c>
      <c r="H283" s="46">
        <v>0.46277034016577057</v>
      </c>
      <c r="I283" s="46">
        <v>-0.21185263435875157</v>
      </c>
      <c r="J283" s="46">
        <v>0.25837874876671574</v>
      </c>
    </row>
    <row r="284" spans="1:10" ht="11.25" customHeight="1" x14ac:dyDescent="0.2">
      <c r="A284" s="55">
        <v>44713</v>
      </c>
      <c r="B284" s="45">
        <v>0</v>
      </c>
      <c r="C284" s="45">
        <v>0</v>
      </c>
      <c r="D284" s="45">
        <v>28.993119999999998</v>
      </c>
      <c r="E284" s="45">
        <v>42.410276004867001</v>
      </c>
      <c r="F284" s="45">
        <v>12.6022</v>
      </c>
      <c r="G284" s="45">
        <v>9.9323907312841406</v>
      </c>
      <c r="H284" s="46">
        <v>0.46277034016577057</v>
      </c>
      <c r="I284" s="46">
        <v>-0.21185263435875157</v>
      </c>
      <c r="J284" s="46">
        <v>0.25837874876671574</v>
      </c>
    </row>
    <row r="285" spans="1:10" ht="11.25" customHeight="1" x14ac:dyDescent="0.2">
      <c r="A285" s="55">
        <v>44743</v>
      </c>
      <c r="B285" s="45">
        <v>0</v>
      </c>
      <c r="C285" s="45">
        <v>0</v>
      </c>
      <c r="D285" s="45">
        <v>28.993119999999998</v>
      </c>
      <c r="E285" s="45">
        <v>42.410276004867001</v>
      </c>
      <c r="F285" s="45">
        <v>12.6022</v>
      </c>
      <c r="G285" s="45">
        <v>9.9323907312841406</v>
      </c>
      <c r="H285" s="46">
        <v>0.46277034016577057</v>
      </c>
      <c r="I285" s="46">
        <v>-0.21185263435875157</v>
      </c>
      <c r="J285" s="46">
        <v>0.25837874876671574</v>
      </c>
    </row>
    <row r="286" spans="1:10" ht="11.25" customHeight="1" x14ac:dyDescent="0.2">
      <c r="A286" s="55">
        <v>44774</v>
      </c>
      <c r="B286" s="45">
        <v>0</v>
      </c>
      <c r="C286" s="45">
        <v>0</v>
      </c>
      <c r="D286" s="45">
        <v>28.993119999999998</v>
      </c>
      <c r="E286" s="45">
        <v>42.410276004867001</v>
      </c>
      <c r="F286" s="45">
        <v>12.6022</v>
      </c>
      <c r="G286" s="45">
        <v>9.9323907312841406</v>
      </c>
      <c r="H286" s="46">
        <v>0.46277034016577057</v>
      </c>
      <c r="I286" s="46">
        <v>-0.21185263435875157</v>
      </c>
      <c r="J286" s="46">
        <v>0.25837874876671574</v>
      </c>
    </row>
    <row r="287" spans="1:10" ht="11.25" customHeight="1" x14ac:dyDescent="0.2">
      <c r="A287" s="54" t="s">
        <v>37</v>
      </c>
      <c r="B287" s="45">
        <v>0</v>
      </c>
      <c r="C287" s="45">
        <v>0</v>
      </c>
      <c r="D287" s="45">
        <v>765.41976000000011</v>
      </c>
      <c r="E287" s="45">
        <v>1119.46116957404</v>
      </c>
      <c r="F287" s="45">
        <v>210.35980000000001</v>
      </c>
      <c r="G287" s="45">
        <v>165.79452220681989</v>
      </c>
      <c r="H287" s="46">
        <v>0.46254542680481614</v>
      </c>
      <c r="I287" s="46">
        <v>-0.21185263435875157</v>
      </c>
      <c r="J287" s="46">
        <v>0.31715783407151887</v>
      </c>
    </row>
    <row r="288" spans="1:10" ht="11.25" customHeight="1" x14ac:dyDescent="0.2">
      <c r="A288" s="55">
        <v>44440</v>
      </c>
      <c r="B288" s="45">
        <v>0</v>
      </c>
      <c r="C288" s="45">
        <v>0</v>
      </c>
      <c r="D288" s="45">
        <v>44.091000000000008</v>
      </c>
      <c r="E288" s="45">
        <v>64.485090413251143</v>
      </c>
      <c r="F288" s="45">
        <v>12.1175</v>
      </c>
      <c r="G288" s="45">
        <v>9.5503757031578278</v>
      </c>
      <c r="H288" s="46">
        <v>0.4625454268048157</v>
      </c>
      <c r="I288" s="46">
        <v>-0.21185263435875157</v>
      </c>
      <c r="J288" s="46">
        <v>0.31715783407151865</v>
      </c>
    </row>
    <row r="289" spans="1:10" ht="11.25" customHeight="1" x14ac:dyDescent="0.2">
      <c r="A289" s="55">
        <v>44470</v>
      </c>
      <c r="B289" s="45">
        <v>0</v>
      </c>
      <c r="C289" s="45">
        <v>0</v>
      </c>
      <c r="D289" s="45">
        <v>45.854640000000003</v>
      </c>
      <c r="E289" s="45">
        <v>67.064494029781187</v>
      </c>
      <c r="F289" s="45">
        <v>12.6022</v>
      </c>
      <c r="G289" s="45">
        <v>9.9323907312841406</v>
      </c>
      <c r="H289" s="46">
        <v>0.46254542680481592</v>
      </c>
      <c r="I289" s="46">
        <v>-0.21185263435875157</v>
      </c>
      <c r="J289" s="46">
        <v>0.31715783407151887</v>
      </c>
    </row>
    <row r="290" spans="1:10" ht="11.25" customHeight="1" x14ac:dyDescent="0.2">
      <c r="A290" s="55">
        <v>44501</v>
      </c>
      <c r="B290" s="45">
        <v>0</v>
      </c>
      <c r="C290" s="45">
        <v>0</v>
      </c>
      <c r="D290" s="45">
        <v>45.854640000000003</v>
      </c>
      <c r="E290" s="45">
        <v>67.064494029781187</v>
      </c>
      <c r="F290" s="45">
        <v>12.6022</v>
      </c>
      <c r="G290" s="45">
        <v>9.9323907312841406</v>
      </c>
      <c r="H290" s="46">
        <v>0.46254542680481592</v>
      </c>
      <c r="I290" s="46">
        <v>-0.21185263435875157</v>
      </c>
      <c r="J290" s="46">
        <v>0.31715783407151887</v>
      </c>
    </row>
    <row r="291" spans="1:10" ht="11.25" customHeight="1" x14ac:dyDescent="0.2">
      <c r="A291" s="55">
        <v>44531</v>
      </c>
      <c r="B291" s="45">
        <v>0</v>
      </c>
      <c r="C291" s="45">
        <v>0</v>
      </c>
      <c r="D291" s="45">
        <v>50.263740000000006</v>
      </c>
      <c r="E291" s="45">
        <v>73.513003071106311</v>
      </c>
      <c r="F291" s="45">
        <v>13.81395</v>
      </c>
      <c r="G291" s="45">
        <v>10.887428301599924</v>
      </c>
      <c r="H291" s="46">
        <v>0.46254542680481592</v>
      </c>
      <c r="I291" s="46">
        <v>-0.21185263435875157</v>
      </c>
      <c r="J291" s="46">
        <v>0.3171578340715191</v>
      </c>
    </row>
    <row r="292" spans="1:10" ht="11.25" customHeight="1" x14ac:dyDescent="0.2">
      <c r="A292" s="55">
        <v>44562</v>
      </c>
      <c r="B292" s="45">
        <v>0</v>
      </c>
      <c r="C292" s="45">
        <v>0</v>
      </c>
      <c r="D292" s="45">
        <v>66.136499999999998</v>
      </c>
      <c r="E292" s="45">
        <v>96.727635619876722</v>
      </c>
      <c r="F292" s="45">
        <v>18.17625</v>
      </c>
      <c r="G292" s="45">
        <v>14.325563554736741</v>
      </c>
      <c r="H292" s="46">
        <v>0.46254542680481614</v>
      </c>
      <c r="I292" s="46">
        <v>-0.21185263435875157</v>
      </c>
      <c r="J292" s="46">
        <v>0.3171578340715191</v>
      </c>
    </row>
    <row r="293" spans="1:10" ht="11.25" customHeight="1" x14ac:dyDescent="0.2">
      <c r="A293" s="55">
        <v>44593</v>
      </c>
      <c r="B293" s="45">
        <v>0</v>
      </c>
      <c r="C293" s="45">
        <v>0</v>
      </c>
      <c r="D293" s="45">
        <v>93.472920000000002</v>
      </c>
      <c r="E293" s="45">
        <v>136.70839167609242</v>
      </c>
      <c r="F293" s="45">
        <v>25.6891</v>
      </c>
      <c r="G293" s="45">
        <v>20.246796490694592</v>
      </c>
      <c r="H293" s="46">
        <v>0.46254542680481592</v>
      </c>
      <c r="I293" s="46">
        <v>-0.21185263435875168</v>
      </c>
      <c r="J293" s="46">
        <v>0.3171578340715191</v>
      </c>
    </row>
    <row r="294" spans="1:10" ht="11.25" customHeight="1" x14ac:dyDescent="0.2">
      <c r="A294" s="55">
        <v>44621</v>
      </c>
      <c r="B294" s="45">
        <v>0</v>
      </c>
      <c r="C294" s="45">
        <v>0</v>
      </c>
      <c r="D294" s="45">
        <v>66.136499999999998</v>
      </c>
      <c r="E294" s="45">
        <v>96.727635619876722</v>
      </c>
      <c r="F294" s="45">
        <v>18.17625</v>
      </c>
      <c r="G294" s="45">
        <v>14.325563554736741</v>
      </c>
      <c r="H294" s="46">
        <v>0.46254542680481614</v>
      </c>
      <c r="I294" s="46">
        <v>-0.21185263435875157</v>
      </c>
      <c r="J294" s="46">
        <v>0.3171578340715191</v>
      </c>
    </row>
    <row r="295" spans="1:10" ht="11.25" customHeight="1" x14ac:dyDescent="0.2">
      <c r="A295" s="55">
        <v>44652</v>
      </c>
      <c r="B295" s="45">
        <v>0</v>
      </c>
      <c r="C295" s="45">
        <v>0</v>
      </c>
      <c r="D295" s="45">
        <v>76.718339999999998</v>
      </c>
      <c r="E295" s="45">
        <v>112.20405731905699</v>
      </c>
      <c r="F295" s="45">
        <v>21.084449999999997</v>
      </c>
      <c r="G295" s="45">
        <v>16.61765372349462</v>
      </c>
      <c r="H295" s="46">
        <v>0.46254542680481592</v>
      </c>
      <c r="I295" s="46">
        <v>-0.21185263435875146</v>
      </c>
      <c r="J295" s="46">
        <v>0.3171578340715191</v>
      </c>
    </row>
    <row r="296" spans="1:10" ht="11.25" customHeight="1" x14ac:dyDescent="0.2">
      <c r="A296" s="55">
        <v>44682</v>
      </c>
      <c r="B296" s="45">
        <v>0</v>
      </c>
      <c r="C296" s="45">
        <v>0</v>
      </c>
      <c r="D296" s="45">
        <v>68.781959999999998</v>
      </c>
      <c r="E296" s="45">
        <v>100.59674104467179</v>
      </c>
      <c r="F296" s="45">
        <v>18.903299999999998</v>
      </c>
      <c r="G296" s="45">
        <v>14.898586096926211</v>
      </c>
      <c r="H296" s="46">
        <v>0.46254542680481614</v>
      </c>
      <c r="I296" s="46">
        <v>-0.21185263435875157</v>
      </c>
      <c r="J296" s="46">
        <v>0.31715783407151887</v>
      </c>
    </row>
    <row r="297" spans="1:10" ht="11.25" customHeight="1" x14ac:dyDescent="0.2">
      <c r="A297" s="55">
        <v>44713</v>
      </c>
      <c r="B297" s="45">
        <v>0</v>
      </c>
      <c r="C297" s="45">
        <v>0</v>
      </c>
      <c r="D297" s="45">
        <v>70.545600000000007</v>
      </c>
      <c r="E297" s="45">
        <v>103.17614466120183</v>
      </c>
      <c r="F297" s="45">
        <v>19.388000000000002</v>
      </c>
      <c r="G297" s="45">
        <v>15.280601125052524</v>
      </c>
      <c r="H297" s="46">
        <v>0.46254542680481592</v>
      </c>
      <c r="I297" s="46">
        <v>-0.21185263435875168</v>
      </c>
      <c r="J297" s="46">
        <v>0.31715783407151887</v>
      </c>
    </row>
    <row r="298" spans="1:10" ht="11.25" customHeight="1" x14ac:dyDescent="0.2">
      <c r="A298" s="55">
        <v>44743</v>
      </c>
      <c r="B298" s="45">
        <v>0</v>
      </c>
      <c r="C298" s="45">
        <v>0</v>
      </c>
      <c r="D298" s="45">
        <v>68.781959999999998</v>
      </c>
      <c r="E298" s="45">
        <v>100.59674104467179</v>
      </c>
      <c r="F298" s="45">
        <v>18.903299999999998</v>
      </c>
      <c r="G298" s="45">
        <v>14.898586096926211</v>
      </c>
      <c r="H298" s="46">
        <v>0.46254542680481614</v>
      </c>
      <c r="I298" s="46">
        <v>-0.21185263435875157</v>
      </c>
      <c r="J298" s="46">
        <v>0.31715783407151887</v>
      </c>
    </row>
    <row r="299" spans="1:10" ht="11.25" customHeight="1" x14ac:dyDescent="0.2">
      <c r="A299" s="55">
        <v>44774</v>
      </c>
      <c r="B299" s="45">
        <v>0</v>
      </c>
      <c r="C299" s="45">
        <v>0</v>
      </c>
      <c r="D299" s="45">
        <v>68.781959999999998</v>
      </c>
      <c r="E299" s="45">
        <v>100.59674104467179</v>
      </c>
      <c r="F299" s="45">
        <v>18.903299999999998</v>
      </c>
      <c r="G299" s="45">
        <v>14.898586096926211</v>
      </c>
      <c r="H299" s="46">
        <v>0.46254542680481614</v>
      </c>
      <c r="I299" s="46">
        <v>-0.21185263435875157</v>
      </c>
      <c r="J299" s="46">
        <v>0.31715783407151887</v>
      </c>
    </row>
    <row r="300" spans="1:10" ht="11.25" customHeight="1" x14ac:dyDescent="0.2">
      <c r="A300" s="49" t="s">
        <v>23</v>
      </c>
      <c r="B300" s="45">
        <v>0</v>
      </c>
      <c r="C300" s="45">
        <v>0</v>
      </c>
      <c r="D300" s="45">
        <v>985863.58086799993</v>
      </c>
      <c r="E300" s="45">
        <v>1442529.8340086536</v>
      </c>
      <c r="F300" s="45">
        <v>780313.00442000036</v>
      </c>
      <c r="G300" s="45">
        <v>615001.63880923064</v>
      </c>
      <c r="H300" s="46">
        <v>0.46321444670730583</v>
      </c>
      <c r="I300" s="46">
        <v>-0.21185263435875168</v>
      </c>
      <c r="J300" s="46">
        <v>0.16496362252609931</v>
      </c>
    </row>
    <row r="301" spans="1:10" ht="11.25" customHeight="1" x14ac:dyDescent="0.2">
      <c r="A301" s="50" t="s">
        <v>39</v>
      </c>
      <c r="B301" s="45">
        <v>0</v>
      </c>
      <c r="C301" s="45">
        <v>0</v>
      </c>
      <c r="D301" s="45">
        <v>680885.72584000009</v>
      </c>
      <c r="E301" s="45">
        <v>996281.8306058778</v>
      </c>
      <c r="F301" s="45">
        <v>538922.41960000002</v>
      </c>
      <c r="G301" s="45">
        <v>424750.28529274749</v>
      </c>
      <c r="H301" s="46">
        <v>0.46321444670730605</v>
      </c>
      <c r="I301" s="46">
        <v>-0.21185263435875146</v>
      </c>
      <c r="J301" s="46">
        <v>0.16496362252609975</v>
      </c>
    </row>
    <row r="302" spans="1:10" ht="11.25" customHeight="1" x14ac:dyDescent="0.2">
      <c r="A302" s="51" t="s">
        <v>25</v>
      </c>
      <c r="B302" s="45">
        <v>0</v>
      </c>
      <c r="C302" s="45">
        <v>0</v>
      </c>
      <c r="D302" s="45">
        <v>680885.72584000009</v>
      </c>
      <c r="E302" s="45">
        <v>996281.8306058778</v>
      </c>
      <c r="F302" s="45">
        <v>538922.41960000002</v>
      </c>
      <c r="G302" s="45">
        <v>424750.28529274749</v>
      </c>
      <c r="H302" s="46">
        <v>0.46321444670730605</v>
      </c>
      <c r="I302" s="46">
        <v>-0.21185263435875146</v>
      </c>
      <c r="J302" s="46">
        <v>0.16496362252609975</v>
      </c>
    </row>
    <row r="303" spans="1:10" ht="11.25" customHeight="1" x14ac:dyDescent="0.2">
      <c r="A303" s="52" t="s">
        <v>25</v>
      </c>
      <c r="B303" s="45">
        <v>0</v>
      </c>
      <c r="C303" s="45">
        <v>0</v>
      </c>
      <c r="D303" s="45">
        <v>680885.72584000009</v>
      </c>
      <c r="E303" s="45">
        <v>996281.8306058778</v>
      </c>
      <c r="F303" s="45">
        <v>538922.41960000002</v>
      </c>
      <c r="G303" s="45">
        <v>424750.28529274749</v>
      </c>
      <c r="H303" s="46">
        <v>0.46321444670730605</v>
      </c>
      <c r="I303" s="46">
        <v>-0.21185263435875146</v>
      </c>
      <c r="J303" s="46">
        <v>0.16496362252609975</v>
      </c>
    </row>
    <row r="304" spans="1:10" ht="11.25" customHeight="1" x14ac:dyDescent="0.2">
      <c r="A304" s="53" t="s">
        <v>25</v>
      </c>
      <c r="B304" s="45">
        <v>0</v>
      </c>
      <c r="C304" s="45">
        <v>0</v>
      </c>
      <c r="D304" s="45">
        <v>680885.72584000009</v>
      </c>
      <c r="E304" s="45">
        <v>996281.8306058778</v>
      </c>
      <c r="F304" s="45">
        <v>538922.41960000002</v>
      </c>
      <c r="G304" s="45">
        <v>424750.28529274749</v>
      </c>
      <c r="H304" s="46">
        <v>0.46321444670730605</v>
      </c>
      <c r="I304" s="46">
        <v>-0.21185263435875146</v>
      </c>
      <c r="J304" s="46">
        <v>0.16496362252609975</v>
      </c>
    </row>
    <row r="305" spans="1:10" ht="11.25" customHeight="1" x14ac:dyDescent="0.2">
      <c r="A305" s="54" t="s">
        <v>25</v>
      </c>
      <c r="B305" s="45">
        <v>0</v>
      </c>
      <c r="C305" s="45">
        <v>0</v>
      </c>
      <c r="D305" s="45">
        <v>680885.72584000009</v>
      </c>
      <c r="E305" s="45">
        <v>996281.8306058778</v>
      </c>
      <c r="F305" s="45">
        <v>538922.41960000002</v>
      </c>
      <c r="G305" s="45">
        <v>424750.28529274749</v>
      </c>
      <c r="H305" s="46">
        <v>0.46321444670730605</v>
      </c>
      <c r="I305" s="46">
        <v>-0.21185263435875146</v>
      </c>
      <c r="J305" s="46">
        <v>0.16496362252609975</v>
      </c>
    </row>
    <row r="306" spans="1:10" ht="11.25" customHeight="1" x14ac:dyDescent="0.2">
      <c r="A306" s="55">
        <v>44440</v>
      </c>
      <c r="B306" s="45">
        <v>0</v>
      </c>
      <c r="C306" s="45">
        <v>0</v>
      </c>
      <c r="D306" s="45">
        <v>52950.049080000004</v>
      </c>
      <c r="E306" s="45">
        <v>77477.276767716874</v>
      </c>
      <c r="F306" s="45">
        <v>41910.070200000002</v>
      </c>
      <c r="G306" s="45">
        <v>33031.311421969789</v>
      </c>
      <c r="H306" s="46">
        <v>0.46321444670730538</v>
      </c>
      <c r="I306" s="46">
        <v>-0.21185263435875157</v>
      </c>
      <c r="J306" s="46">
        <v>0.16496362252609909</v>
      </c>
    </row>
    <row r="307" spans="1:10" ht="11.25" customHeight="1" x14ac:dyDescent="0.2">
      <c r="A307" s="55">
        <v>44470</v>
      </c>
      <c r="B307" s="45">
        <v>0</v>
      </c>
      <c r="C307" s="45">
        <v>0</v>
      </c>
      <c r="D307" s="45">
        <v>51146.589979999997</v>
      </c>
      <c r="E307" s="45">
        <v>74838.429358551119</v>
      </c>
      <c r="F307" s="45">
        <v>40482.628700000001</v>
      </c>
      <c r="G307" s="45">
        <v>31906.277164137795</v>
      </c>
      <c r="H307" s="46">
        <v>0.4632144467073056</v>
      </c>
      <c r="I307" s="46">
        <v>-0.21185263435875168</v>
      </c>
      <c r="J307" s="46">
        <v>0.16496362252609931</v>
      </c>
    </row>
    <row r="308" spans="1:10" ht="11.25" customHeight="1" x14ac:dyDescent="0.2">
      <c r="A308" s="55">
        <v>44501</v>
      </c>
      <c r="B308" s="45">
        <v>0</v>
      </c>
      <c r="C308" s="45">
        <v>0</v>
      </c>
      <c r="D308" s="45">
        <v>54971.821649999998</v>
      </c>
      <c r="E308" s="45">
        <v>80435.563600097434</v>
      </c>
      <c r="F308" s="45">
        <v>43510.307249999991</v>
      </c>
      <c r="G308" s="45">
        <v>34292.534037328805</v>
      </c>
      <c r="H308" s="46">
        <v>0.4632144467073056</v>
      </c>
      <c r="I308" s="46">
        <v>-0.21185263435875157</v>
      </c>
      <c r="J308" s="46">
        <v>0.16496362252609931</v>
      </c>
    </row>
    <row r="309" spans="1:10" ht="11.25" customHeight="1" x14ac:dyDescent="0.2">
      <c r="A309" s="55">
        <v>44531</v>
      </c>
      <c r="B309" s="45">
        <v>0</v>
      </c>
      <c r="C309" s="45">
        <v>0</v>
      </c>
      <c r="D309" s="45">
        <v>59271.647819999998</v>
      </c>
      <c r="E309" s="45">
        <v>86727.131370371571</v>
      </c>
      <c r="F309" s="45">
        <v>46913.628299999997</v>
      </c>
      <c r="G309" s="45">
        <v>36974.852557317718</v>
      </c>
      <c r="H309" s="46">
        <v>0.4632144467073056</v>
      </c>
      <c r="I309" s="46">
        <v>-0.21185263435875157</v>
      </c>
      <c r="J309" s="46">
        <v>0.16496362252609909</v>
      </c>
    </row>
    <row r="310" spans="1:10" ht="11.25" customHeight="1" x14ac:dyDescent="0.2">
      <c r="A310" s="55">
        <v>44562</v>
      </c>
      <c r="B310" s="45">
        <v>0</v>
      </c>
      <c r="C310" s="45">
        <v>0</v>
      </c>
      <c r="D310" s="45">
        <v>60711.659390000008</v>
      </c>
      <c r="E310" s="45">
        <v>88834.177103021255</v>
      </c>
      <c r="F310" s="45">
        <v>48053.400349999996</v>
      </c>
      <c r="G310" s="45">
        <v>37873.160895956746</v>
      </c>
      <c r="H310" s="46">
        <v>0.4632144467073056</v>
      </c>
      <c r="I310" s="46">
        <v>-0.21185263435875146</v>
      </c>
      <c r="J310" s="46">
        <v>0.16496362252609931</v>
      </c>
    </row>
    <row r="311" spans="1:10" ht="11.25" customHeight="1" x14ac:dyDescent="0.2">
      <c r="A311" s="55">
        <v>44593</v>
      </c>
      <c r="B311" s="45">
        <v>0</v>
      </c>
      <c r="C311" s="45">
        <v>0</v>
      </c>
      <c r="D311" s="45">
        <v>81274.461220000012</v>
      </c>
      <c r="E311" s="45">
        <v>118921.96580545668</v>
      </c>
      <c r="F311" s="45">
        <v>64328.899299999997</v>
      </c>
      <c r="G311" s="45">
        <v>50700.652517896153</v>
      </c>
      <c r="H311" s="46">
        <v>0.4632144467073056</v>
      </c>
      <c r="I311" s="46">
        <v>-0.21185263435875146</v>
      </c>
      <c r="J311" s="46">
        <v>0.16496362252609909</v>
      </c>
    </row>
    <row r="312" spans="1:10" ht="11.25" customHeight="1" x14ac:dyDescent="0.2">
      <c r="A312" s="55">
        <v>44621</v>
      </c>
      <c r="B312" s="45">
        <v>0</v>
      </c>
      <c r="C312" s="45">
        <v>0</v>
      </c>
      <c r="D312" s="45">
        <v>65562.321370000005</v>
      </c>
      <c r="E312" s="45">
        <v>95931.735788251113</v>
      </c>
      <c r="F312" s="45">
        <v>51892.709050000005</v>
      </c>
      <c r="G312" s="45">
        <v>40899.101933745274</v>
      </c>
      <c r="H312" s="46">
        <v>0.4632144467073056</v>
      </c>
      <c r="I312" s="46">
        <v>-0.21185263435875157</v>
      </c>
      <c r="J312" s="46">
        <v>0.16496362252609909</v>
      </c>
    </row>
    <row r="313" spans="1:10" ht="11.25" customHeight="1" x14ac:dyDescent="0.2">
      <c r="A313" s="55">
        <v>44652</v>
      </c>
      <c r="B313" s="45">
        <v>0</v>
      </c>
      <c r="C313" s="45">
        <v>0</v>
      </c>
      <c r="D313" s="45">
        <v>55568.89215</v>
      </c>
      <c r="E313" s="45">
        <v>81309.205781400189</v>
      </c>
      <c r="F313" s="45">
        <v>43982.889749999995</v>
      </c>
      <c r="G313" s="45">
        <v>34664.99868975197</v>
      </c>
      <c r="H313" s="46">
        <v>0.4632144467073056</v>
      </c>
      <c r="I313" s="46">
        <v>-0.21185263435875146</v>
      </c>
      <c r="J313" s="46">
        <v>0.16496362252609931</v>
      </c>
    </row>
    <row r="314" spans="1:10" ht="11.25" customHeight="1" x14ac:dyDescent="0.2">
      <c r="A314" s="55">
        <v>44682</v>
      </c>
      <c r="B314" s="45">
        <v>0</v>
      </c>
      <c r="C314" s="45">
        <v>0</v>
      </c>
      <c r="D314" s="45">
        <v>48340.358630000002</v>
      </c>
      <c r="E314" s="45">
        <v>70732.311106428184</v>
      </c>
      <c r="F314" s="45">
        <v>38261.490950000007</v>
      </c>
      <c r="G314" s="45">
        <v>30155.693297748971</v>
      </c>
      <c r="H314" s="46">
        <v>0.4632144467073056</v>
      </c>
      <c r="I314" s="46">
        <v>-0.21185263435875168</v>
      </c>
      <c r="J314" s="46">
        <v>0.16496362252609931</v>
      </c>
    </row>
    <row r="315" spans="1:10" ht="11.25" customHeight="1" x14ac:dyDescent="0.2">
      <c r="A315" s="55">
        <v>44713</v>
      </c>
      <c r="B315" s="45">
        <v>0</v>
      </c>
      <c r="C315" s="45">
        <v>0</v>
      </c>
      <c r="D315" s="45">
        <v>51102.804810000001</v>
      </c>
      <c r="E315" s="45">
        <v>74774.362265255593</v>
      </c>
      <c r="F315" s="45">
        <v>40447.972650000003</v>
      </c>
      <c r="G315" s="45">
        <v>31878.963089626766</v>
      </c>
      <c r="H315" s="46">
        <v>0.4632144467073056</v>
      </c>
      <c r="I315" s="46">
        <v>-0.21185263435875168</v>
      </c>
      <c r="J315" s="46">
        <v>0.16496362252609909</v>
      </c>
    </row>
    <row r="316" spans="1:10" ht="11.25" customHeight="1" x14ac:dyDescent="0.2">
      <c r="A316" s="55">
        <v>44743</v>
      </c>
      <c r="B316" s="45">
        <v>0</v>
      </c>
      <c r="C316" s="45">
        <v>0</v>
      </c>
      <c r="D316" s="45">
        <v>49992.559870000005</v>
      </c>
      <c r="E316" s="45">
        <v>73149.835829663905</v>
      </c>
      <c r="F316" s="45">
        <v>39569.21155</v>
      </c>
      <c r="G316" s="45">
        <v>31186.369843633762</v>
      </c>
      <c r="H316" s="46">
        <v>0.4632144467073056</v>
      </c>
      <c r="I316" s="46">
        <v>-0.21185263435875157</v>
      </c>
      <c r="J316" s="46">
        <v>0.16496362252609909</v>
      </c>
    </row>
    <row r="317" spans="1:10" ht="11.25" customHeight="1" x14ac:dyDescent="0.2">
      <c r="A317" s="55">
        <v>44774</v>
      </c>
      <c r="B317" s="45">
        <v>0</v>
      </c>
      <c r="C317" s="45">
        <v>0</v>
      </c>
      <c r="D317" s="45">
        <v>49992.559870000005</v>
      </c>
      <c r="E317" s="45">
        <v>73149.835829663905</v>
      </c>
      <c r="F317" s="45">
        <v>39569.21155</v>
      </c>
      <c r="G317" s="45">
        <v>31186.369843633762</v>
      </c>
      <c r="H317" s="46">
        <v>0.4632144467073056</v>
      </c>
      <c r="I317" s="46">
        <v>-0.21185263435875157</v>
      </c>
      <c r="J317" s="46">
        <v>0.16496362252609909</v>
      </c>
    </row>
    <row r="318" spans="1:10" ht="11.25" customHeight="1" x14ac:dyDescent="0.2">
      <c r="A318" s="50" t="s">
        <v>50</v>
      </c>
      <c r="B318" s="45">
        <v>0</v>
      </c>
      <c r="C318" s="45">
        <v>0</v>
      </c>
      <c r="D318" s="45">
        <v>8157.8201700000009</v>
      </c>
      <c r="E318" s="45">
        <v>11936.640326384248</v>
      </c>
      <c r="F318" s="45">
        <v>6456.9310500000011</v>
      </c>
      <c r="G318" s="45">
        <v>5089.0131971846804</v>
      </c>
      <c r="H318" s="46">
        <v>0.46321444670730538</v>
      </c>
      <c r="I318" s="46">
        <v>-0.21185263435875168</v>
      </c>
      <c r="J318" s="46">
        <v>0.16496362252609909</v>
      </c>
    </row>
    <row r="319" spans="1:10" ht="11.25" customHeight="1" x14ac:dyDescent="0.2">
      <c r="A319" s="51" t="s">
        <v>25</v>
      </c>
      <c r="B319" s="45">
        <v>0</v>
      </c>
      <c r="C319" s="45">
        <v>0</v>
      </c>
      <c r="D319" s="45">
        <v>8157.8201700000009</v>
      </c>
      <c r="E319" s="45">
        <v>11936.640326384248</v>
      </c>
      <c r="F319" s="45">
        <v>6456.9310500000011</v>
      </c>
      <c r="G319" s="45">
        <v>5089.0131971846804</v>
      </c>
      <c r="H319" s="46">
        <v>0.46321444670730538</v>
      </c>
      <c r="I319" s="46">
        <v>-0.21185263435875168</v>
      </c>
      <c r="J319" s="46">
        <v>0.16496362252609909</v>
      </c>
    </row>
    <row r="320" spans="1:10" ht="11.25" customHeight="1" x14ac:dyDescent="0.2">
      <c r="A320" s="52" t="s">
        <v>25</v>
      </c>
      <c r="B320" s="45">
        <v>0</v>
      </c>
      <c r="C320" s="45">
        <v>0</v>
      </c>
      <c r="D320" s="45">
        <v>8157.8201700000009</v>
      </c>
      <c r="E320" s="45">
        <v>11936.640326384248</v>
      </c>
      <c r="F320" s="45">
        <v>6456.9310500000011</v>
      </c>
      <c r="G320" s="45">
        <v>5089.0131971846804</v>
      </c>
      <c r="H320" s="46">
        <v>0.46321444670730538</v>
      </c>
      <c r="I320" s="46">
        <v>-0.21185263435875168</v>
      </c>
      <c r="J320" s="46">
        <v>0.16496362252609909</v>
      </c>
    </row>
    <row r="321" spans="1:10" ht="11.25" customHeight="1" x14ac:dyDescent="0.2">
      <c r="A321" s="53" t="s">
        <v>25</v>
      </c>
      <c r="B321" s="45">
        <v>0</v>
      </c>
      <c r="C321" s="45">
        <v>0</v>
      </c>
      <c r="D321" s="45">
        <v>8157.8201700000009</v>
      </c>
      <c r="E321" s="45">
        <v>11936.640326384248</v>
      </c>
      <c r="F321" s="45">
        <v>6456.9310500000011</v>
      </c>
      <c r="G321" s="45">
        <v>5089.0131971846804</v>
      </c>
      <c r="H321" s="46">
        <v>0.46321444670730538</v>
      </c>
      <c r="I321" s="46">
        <v>-0.21185263435875168</v>
      </c>
      <c r="J321" s="46">
        <v>0.16496362252609909</v>
      </c>
    </row>
    <row r="322" spans="1:10" ht="11.25" customHeight="1" x14ac:dyDescent="0.2">
      <c r="A322" s="54" t="s">
        <v>25</v>
      </c>
      <c r="B322" s="45">
        <v>0</v>
      </c>
      <c r="C322" s="45">
        <v>0</v>
      </c>
      <c r="D322" s="45">
        <v>8157.8201700000009</v>
      </c>
      <c r="E322" s="45">
        <v>11936.640326384248</v>
      </c>
      <c r="F322" s="45">
        <v>6456.9310500000011</v>
      </c>
      <c r="G322" s="45">
        <v>5089.0131971846804</v>
      </c>
      <c r="H322" s="46">
        <v>0.46321444670730538</v>
      </c>
      <c r="I322" s="46">
        <v>-0.21185263435875168</v>
      </c>
      <c r="J322" s="46">
        <v>0.16496362252609909</v>
      </c>
    </row>
    <row r="323" spans="1:10" ht="11.25" customHeight="1" x14ac:dyDescent="0.2">
      <c r="A323" s="55">
        <v>44440</v>
      </c>
      <c r="B323" s="45">
        <v>0</v>
      </c>
      <c r="C323" s="45">
        <v>0</v>
      </c>
      <c r="D323" s="45">
        <v>179.73353</v>
      </c>
      <c r="E323" s="45">
        <v>262.98869765370091</v>
      </c>
      <c r="F323" s="45">
        <v>142.25944999999999</v>
      </c>
      <c r="G323" s="45">
        <v>112.12141075507289</v>
      </c>
      <c r="H323" s="46">
        <v>0.4632144467073056</v>
      </c>
      <c r="I323" s="46">
        <v>-0.21185263435875157</v>
      </c>
      <c r="J323" s="46">
        <v>0.16496362252609909</v>
      </c>
    </row>
    <row r="324" spans="1:10" ht="11.25" customHeight="1" x14ac:dyDescent="0.2">
      <c r="A324" s="55">
        <v>44470</v>
      </c>
      <c r="B324" s="45">
        <v>0</v>
      </c>
      <c r="C324" s="45">
        <v>0</v>
      </c>
      <c r="D324" s="45">
        <v>470.61402999999996</v>
      </c>
      <c r="E324" s="45">
        <v>688.60924751914524</v>
      </c>
      <c r="F324" s="45">
        <v>372.49194999999997</v>
      </c>
      <c r="G324" s="45">
        <v>293.57854911507161</v>
      </c>
      <c r="H324" s="46">
        <v>0.4632144467073056</v>
      </c>
      <c r="I324" s="46">
        <v>-0.21185263435875157</v>
      </c>
      <c r="J324" s="46">
        <v>0.16496362252609909</v>
      </c>
    </row>
    <row r="325" spans="1:10" ht="11.25" customHeight="1" x14ac:dyDescent="0.2">
      <c r="A325" s="55">
        <v>44501</v>
      </c>
      <c r="B325" s="45">
        <v>0</v>
      </c>
      <c r="C325" s="45">
        <v>0</v>
      </c>
      <c r="D325" s="45">
        <v>426.21647999999999</v>
      </c>
      <c r="E325" s="45">
        <v>623.64611096073531</v>
      </c>
      <c r="F325" s="45">
        <v>337.35119999999995</v>
      </c>
      <c r="G325" s="45">
        <v>265.88245957591391</v>
      </c>
      <c r="H325" s="46">
        <v>0.46321444670730538</v>
      </c>
      <c r="I325" s="46">
        <v>-0.21185263435875146</v>
      </c>
      <c r="J325" s="46">
        <v>0.16496362252609931</v>
      </c>
    </row>
    <row r="326" spans="1:10" ht="11.25" customHeight="1" x14ac:dyDescent="0.2">
      <c r="A326" s="55">
        <v>44531</v>
      </c>
      <c r="B326" s="45">
        <v>0</v>
      </c>
      <c r="C326" s="45">
        <v>0</v>
      </c>
      <c r="D326" s="45">
        <v>1070.7464299999999</v>
      </c>
      <c r="E326" s="45">
        <v>1566.7316451362726</v>
      </c>
      <c r="F326" s="45">
        <v>847.49794999999995</v>
      </c>
      <c r="G326" s="45">
        <v>667.9532766788584</v>
      </c>
      <c r="H326" s="46">
        <v>0.4632144467073056</v>
      </c>
      <c r="I326" s="46">
        <v>-0.21185263435875157</v>
      </c>
      <c r="J326" s="46">
        <v>0.16496362252609909</v>
      </c>
    </row>
    <row r="327" spans="1:10" ht="11.25" customHeight="1" x14ac:dyDescent="0.2">
      <c r="A327" s="55">
        <v>44562</v>
      </c>
      <c r="B327" s="45">
        <v>0</v>
      </c>
      <c r="C327" s="45">
        <v>0</v>
      </c>
      <c r="D327" s="45">
        <v>863.45579999999995</v>
      </c>
      <c r="E327" s="45">
        <v>1263.4210006532139</v>
      </c>
      <c r="F327" s="45">
        <v>683.42699999999991</v>
      </c>
      <c r="G327" s="45">
        <v>538.64118965810144</v>
      </c>
      <c r="H327" s="46">
        <v>0.4632144467073056</v>
      </c>
      <c r="I327" s="46">
        <v>-0.21185263435875157</v>
      </c>
      <c r="J327" s="46">
        <v>0.16496362252609931</v>
      </c>
    </row>
    <row r="328" spans="1:10" ht="11.25" customHeight="1" x14ac:dyDescent="0.2">
      <c r="A328" s="55">
        <v>44593</v>
      </c>
      <c r="B328" s="45">
        <v>0</v>
      </c>
      <c r="C328" s="45">
        <v>0</v>
      </c>
      <c r="D328" s="45">
        <v>1188.0172</v>
      </c>
      <c r="E328" s="45">
        <v>1738.3239299767624</v>
      </c>
      <c r="F328" s="45">
        <v>940.31799999999998</v>
      </c>
      <c r="G328" s="45">
        <v>741.10915456504733</v>
      </c>
      <c r="H328" s="46">
        <v>0.4632144467073056</v>
      </c>
      <c r="I328" s="46">
        <v>-0.21185263435875168</v>
      </c>
      <c r="J328" s="46">
        <v>0.16496362252609931</v>
      </c>
    </row>
    <row r="329" spans="1:10" ht="11.25" customHeight="1" x14ac:dyDescent="0.2">
      <c r="A329" s="55">
        <v>44621</v>
      </c>
      <c r="B329" s="45">
        <v>0</v>
      </c>
      <c r="C329" s="45">
        <v>0</v>
      </c>
      <c r="D329" s="45">
        <v>813.54683</v>
      </c>
      <c r="E329" s="45">
        <v>1190.3934747289325</v>
      </c>
      <c r="F329" s="45">
        <v>643.92394999999999</v>
      </c>
      <c r="G329" s="45">
        <v>507.50696486580694</v>
      </c>
      <c r="H329" s="46">
        <v>0.4632144467073056</v>
      </c>
      <c r="I329" s="46">
        <v>-0.21185263435875157</v>
      </c>
      <c r="J329" s="46">
        <v>0.16496362252609931</v>
      </c>
    </row>
    <row r="330" spans="1:10" ht="11.25" customHeight="1" x14ac:dyDescent="0.2">
      <c r="A330" s="55">
        <v>44652</v>
      </c>
      <c r="B330" s="45">
        <v>0</v>
      </c>
      <c r="C330" s="45">
        <v>0</v>
      </c>
      <c r="D330" s="45">
        <v>757.20786999999996</v>
      </c>
      <c r="E330" s="45">
        <v>1107.9574945444674</v>
      </c>
      <c r="F330" s="45">
        <v>599.33154999999999</v>
      </c>
      <c r="G330" s="45">
        <v>472.36158227818612</v>
      </c>
      <c r="H330" s="46">
        <v>0.4632144467073056</v>
      </c>
      <c r="I330" s="46">
        <v>-0.21185263435875168</v>
      </c>
      <c r="J330" s="46">
        <v>0.16496362252609931</v>
      </c>
    </row>
    <row r="331" spans="1:10" ht="11.25" customHeight="1" x14ac:dyDescent="0.2">
      <c r="A331" s="55">
        <v>44682</v>
      </c>
      <c r="B331" s="45">
        <v>0</v>
      </c>
      <c r="C331" s="45">
        <v>0</v>
      </c>
      <c r="D331" s="45">
        <v>614.52332999999999</v>
      </c>
      <c r="E331" s="45">
        <v>899.17941429468101</v>
      </c>
      <c r="F331" s="45">
        <v>486.39645000000002</v>
      </c>
      <c r="G331" s="45">
        <v>383.35208072475524</v>
      </c>
      <c r="H331" s="46">
        <v>0.4632144467073056</v>
      </c>
      <c r="I331" s="46">
        <v>-0.21185263435875157</v>
      </c>
      <c r="J331" s="46">
        <v>0.16496362252609931</v>
      </c>
    </row>
    <row r="332" spans="1:10" ht="11.25" customHeight="1" x14ac:dyDescent="0.2">
      <c r="A332" s="55">
        <v>44713</v>
      </c>
      <c r="B332" s="45">
        <v>0</v>
      </c>
      <c r="C332" s="45">
        <v>0</v>
      </c>
      <c r="D332" s="45">
        <v>620.03474999999992</v>
      </c>
      <c r="E332" s="45">
        <v>907.24380366055254</v>
      </c>
      <c r="F332" s="45">
        <v>490.75874999999996</v>
      </c>
      <c r="G332" s="45">
        <v>386.79021597789199</v>
      </c>
      <c r="H332" s="46">
        <v>0.46321444670730583</v>
      </c>
      <c r="I332" s="46">
        <v>-0.21185263435875157</v>
      </c>
      <c r="J332" s="46">
        <v>0.16496362252609931</v>
      </c>
    </row>
    <row r="333" spans="1:10" ht="11.25" customHeight="1" x14ac:dyDescent="0.2">
      <c r="A333" s="55">
        <v>44743</v>
      </c>
      <c r="B333" s="45">
        <v>0</v>
      </c>
      <c r="C333" s="45">
        <v>0</v>
      </c>
      <c r="D333" s="45">
        <v>576.86195999999995</v>
      </c>
      <c r="E333" s="45">
        <v>844.07275362789187</v>
      </c>
      <c r="F333" s="45">
        <v>456.58739999999995</v>
      </c>
      <c r="G333" s="45">
        <v>359.85815649498693</v>
      </c>
      <c r="H333" s="46">
        <v>0.46321444670730583</v>
      </c>
      <c r="I333" s="46">
        <v>-0.21185263435875157</v>
      </c>
      <c r="J333" s="46">
        <v>0.16496362252609931</v>
      </c>
    </row>
    <row r="334" spans="1:10" ht="11.25" customHeight="1" x14ac:dyDescent="0.2">
      <c r="A334" s="55">
        <v>44774</v>
      </c>
      <c r="B334" s="45">
        <v>0</v>
      </c>
      <c r="C334" s="45">
        <v>0</v>
      </c>
      <c r="D334" s="45">
        <v>576.86195999999995</v>
      </c>
      <c r="E334" s="45">
        <v>844.07275362789187</v>
      </c>
      <c r="F334" s="45">
        <v>456.58739999999995</v>
      </c>
      <c r="G334" s="45">
        <v>359.85815649498693</v>
      </c>
      <c r="H334" s="46">
        <v>0.46321444670730583</v>
      </c>
      <c r="I334" s="46">
        <v>-0.21185263435875157</v>
      </c>
      <c r="J334" s="46">
        <v>0.16496362252609931</v>
      </c>
    </row>
    <row r="335" spans="1:10" ht="11.25" customHeight="1" x14ac:dyDescent="0.2">
      <c r="A335" s="50" t="s">
        <v>34</v>
      </c>
      <c r="B335" s="45">
        <v>0</v>
      </c>
      <c r="C335" s="45">
        <v>0</v>
      </c>
      <c r="D335" s="45">
        <v>121550.08144000001</v>
      </c>
      <c r="E335" s="45">
        <v>177853.83516145751</v>
      </c>
      <c r="F335" s="45">
        <v>96207.133600000016</v>
      </c>
      <c r="G335" s="45">
        <v>75825.398902735644</v>
      </c>
      <c r="H335" s="46">
        <v>0.46321444670730583</v>
      </c>
      <c r="I335" s="46">
        <v>-0.21185263435875146</v>
      </c>
      <c r="J335" s="46">
        <v>0.16496362252609931</v>
      </c>
    </row>
    <row r="336" spans="1:10" ht="11.25" customHeight="1" x14ac:dyDescent="0.2">
      <c r="A336" s="51" t="s">
        <v>25</v>
      </c>
      <c r="B336" s="45">
        <v>0</v>
      </c>
      <c r="C336" s="45">
        <v>0</v>
      </c>
      <c r="D336" s="45">
        <v>121550.08144000001</v>
      </c>
      <c r="E336" s="45">
        <v>177853.83516145751</v>
      </c>
      <c r="F336" s="45">
        <v>96207.133600000016</v>
      </c>
      <c r="G336" s="45">
        <v>75825.398902735644</v>
      </c>
      <c r="H336" s="46">
        <v>0.46321444670730583</v>
      </c>
      <c r="I336" s="46">
        <v>-0.21185263435875146</v>
      </c>
      <c r="J336" s="46">
        <v>0.16496362252609931</v>
      </c>
    </row>
    <row r="337" spans="1:10" ht="11.25" customHeight="1" x14ac:dyDescent="0.2">
      <c r="A337" s="52" t="s">
        <v>25</v>
      </c>
      <c r="B337" s="45">
        <v>0</v>
      </c>
      <c r="C337" s="45">
        <v>0</v>
      </c>
      <c r="D337" s="45">
        <v>121550.08144000001</v>
      </c>
      <c r="E337" s="45">
        <v>177853.83516145751</v>
      </c>
      <c r="F337" s="45">
        <v>96207.133600000016</v>
      </c>
      <c r="G337" s="45">
        <v>75825.398902735644</v>
      </c>
      <c r="H337" s="46">
        <v>0.46321444670730583</v>
      </c>
      <c r="I337" s="46">
        <v>-0.21185263435875146</v>
      </c>
      <c r="J337" s="46">
        <v>0.16496362252609931</v>
      </c>
    </row>
    <row r="338" spans="1:10" ht="11.25" customHeight="1" x14ac:dyDescent="0.2">
      <c r="A338" s="53" t="s">
        <v>25</v>
      </c>
      <c r="B338" s="45">
        <v>0</v>
      </c>
      <c r="C338" s="45">
        <v>0</v>
      </c>
      <c r="D338" s="45">
        <v>121550.08144000001</v>
      </c>
      <c r="E338" s="45">
        <v>177853.83516145751</v>
      </c>
      <c r="F338" s="45">
        <v>96207.133600000016</v>
      </c>
      <c r="G338" s="45">
        <v>75825.398902735644</v>
      </c>
      <c r="H338" s="46">
        <v>0.46321444670730583</v>
      </c>
      <c r="I338" s="46">
        <v>-0.21185263435875146</v>
      </c>
      <c r="J338" s="46">
        <v>0.16496362252609931</v>
      </c>
    </row>
    <row r="339" spans="1:10" ht="11.25" customHeight="1" x14ac:dyDescent="0.2">
      <c r="A339" s="54" t="s">
        <v>25</v>
      </c>
      <c r="B339" s="45">
        <v>0</v>
      </c>
      <c r="C339" s="45">
        <v>0</v>
      </c>
      <c r="D339" s="45">
        <v>121550.08144000001</v>
      </c>
      <c r="E339" s="45">
        <v>177853.83516145751</v>
      </c>
      <c r="F339" s="45">
        <v>96207.133600000016</v>
      </c>
      <c r="G339" s="45">
        <v>75825.398902735644</v>
      </c>
      <c r="H339" s="46">
        <v>0.46321444670730583</v>
      </c>
      <c r="I339" s="46">
        <v>-0.21185263435875146</v>
      </c>
      <c r="J339" s="46">
        <v>0.16496362252609931</v>
      </c>
    </row>
    <row r="340" spans="1:10" ht="11.25" customHeight="1" x14ac:dyDescent="0.2">
      <c r="A340" s="55">
        <v>44440</v>
      </c>
      <c r="B340" s="45">
        <v>0</v>
      </c>
      <c r="C340" s="45">
        <v>0</v>
      </c>
      <c r="D340" s="45">
        <v>10261.65166</v>
      </c>
      <c r="E340" s="45">
        <v>15014.996955990006</v>
      </c>
      <c r="F340" s="45">
        <v>8122.1178999999993</v>
      </c>
      <c r="G340" s="45">
        <v>6401.4258263126285</v>
      </c>
      <c r="H340" s="46">
        <v>0.46321444670730583</v>
      </c>
      <c r="I340" s="46">
        <v>-0.21185263435875157</v>
      </c>
      <c r="J340" s="46">
        <v>0.16496362252609931</v>
      </c>
    </row>
    <row r="341" spans="1:10" ht="11.25" customHeight="1" x14ac:dyDescent="0.2">
      <c r="A341" s="55">
        <v>44470</v>
      </c>
      <c r="B341" s="45">
        <v>0</v>
      </c>
      <c r="C341" s="45">
        <v>0</v>
      </c>
      <c r="D341" s="45">
        <v>11299.023379999999</v>
      </c>
      <c r="E341" s="45">
        <v>16532.894243299612</v>
      </c>
      <c r="F341" s="45">
        <v>8943.1996999999992</v>
      </c>
      <c r="G341" s="45">
        <v>7048.5592839586034</v>
      </c>
      <c r="H341" s="46">
        <v>0.46321444670730583</v>
      </c>
      <c r="I341" s="46">
        <v>-0.21185263435875146</v>
      </c>
      <c r="J341" s="46">
        <v>0.16496362252609953</v>
      </c>
    </row>
    <row r="342" spans="1:10" ht="11.25" customHeight="1" x14ac:dyDescent="0.2">
      <c r="A342" s="55">
        <v>44501</v>
      </c>
      <c r="B342" s="45">
        <v>0</v>
      </c>
      <c r="C342" s="45">
        <v>0</v>
      </c>
      <c r="D342" s="45">
        <v>10594.480189999998</v>
      </c>
      <c r="E342" s="45">
        <v>15501.996469362359</v>
      </c>
      <c r="F342" s="45">
        <v>8385.5523499999999</v>
      </c>
      <c r="G342" s="45">
        <v>6609.0509940992797</v>
      </c>
      <c r="H342" s="46">
        <v>0.4632144467073056</v>
      </c>
      <c r="I342" s="46">
        <v>-0.21185263435875157</v>
      </c>
      <c r="J342" s="46">
        <v>0.16496362252609931</v>
      </c>
    </row>
    <row r="343" spans="1:10" ht="11.25" customHeight="1" x14ac:dyDescent="0.2">
      <c r="A343" s="55">
        <v>44531</v>
      </c>
      <c r="B343" s="45">
        <v>0</v>
      </c>
      <c r="C343" s="45">
        <v>0</v>
      </c>
      <c r="D343" s="45">
        <v>10798.09654</v>
      </c>
      <c r="E343" s="45">
        <v>15799.930854268172</v>
      </c>
      <c r="F343" s="45">
        <v>8546.7150999999994</v>
      </c>
      <c r="G343" s="45">
        <v>6736.0709909512789</v>
      </c>
      <c r="H343" s="46">
        <v>0.4632144467073056</v>
      </c>
      <c r="I343" s="46">
        <v>-0.21185263435875157</v>
      </c>
      <c r="J343" s="46">
        <v>0.16496362252609909</v>
      </c>
    </row>
    <row r="344" spans="1:10" ht="11.25" customHeight="1" x14ac:dyDescent="0.2">
      <c r="A344" s="55">
        <v>44562</v>
      </c>
      <c r="B344" s="45">
        <v>0</v>
      </c>
      <c r="C344" s="45">
        <v>0</v>
      </c>
      <c r="D344" s="45">
        <v>5504.9900099999995</v>
      </c>
      <c r="E344" s="45">
        <v>8054.9809116113947</v>
      </c>
      <c r="F344" s="45">
        <v>4357.21065</v>
      </c>
      <c r="G344" s="45">
        <v>3434.1240953414917</v>
      </c>
      <c r="H344" s="46">
        <v>0.46321444670730583</v>
      </c>
      <c r="I344" s="46">
        <v>-0.21185263435875157</v>
      </c>
      <c r="J344" s="46">
        <v>0.16496362252609931</v>
      </c>
    </row>
    <row r="345" spans="1:10" ht="11.25" customHeight="1" x14ac:dyDescent="0.2">
      <c r="A345" s="55">
        <v>44593</v>
      </c>
      <c r="B345" s="45">
        <v>0</v>
      </c>
      <c r="C345" s="45">
        <v>0</v>
      </c>
      <c r="D345" s="45">
        <v>15378.698940000002</v>
      </c>
      <c r="E345" s="45">
        <v>22502.334460570328</v>
      </c>
      <c r="F345" s="45">
        <v>12172.2711</v>
      </c>
      <c r="G345" s="45">
        <v>9593.5434013361009</v>
      </c>
      <c r="H345" s="46">
        <v>0.46321444670730538</v>
      </c>
      <c r="I345" s="46">
        <v>-0.21185263435875157</v>
      </c>
      <c r="J345" s="46">
        <v>0.16496362252609931</v>
      </c>
    </row>
    <row r="346" spans="1:10" ht="11.25" customHeight="1" x14ac:dyDescent="0.2">
      <c r="A346" s="55">
        <v>44621</v>
      </c>
      <c r="B346" s="45">
        <v>0</v>
      </c>
      <c r="C346" s="45">
        <v>0</v>
      </c>
      <c r="D346" s="45">
        <v>13106.769139999999</v>
      </c>
      <c r="E346" s="45">
        <v>19178.013955305487</v>
      </c>
      <c r="F346" s="45">
        <v>10374.034100000001</v>
      </c>
      <c r="G346" s="45">
        <v>8176.2676469874787</v>
      </c>
      <c r="H346" s="46">
        <v>0.4632144467073056</v>
      </c>
      <c r="I346" s="46">
        <v>-0.21185263435875168</v>
      </c>
      <c r="J346" s="46">
        <v>0.16496362252609909</v>
      </c>
    </row>
    <row r="347" spans="1:10" ht="11.25" customHeight="1" x14ac:dyDescent="0.2">
      <c r="A347" s="55">
        <v>44652</v>
      </c>
      <c r="B347" s="45">
        <v>0</v>
      </c>
      <c r="C347" s="45">
        <v>0</v>
      </c>
      <c r="D347" s="45">
        <v>12660.9565</v>
      </c>
      <c r="E347" s="45">
        <v>18525.694459932765</v>
      </c>
      <c r="F347" s="45">
        <v>10021.172499999999</v>
      </c>
      <c r="G347" s="45">
        <v>7898.1607065115231</v>
      </c>
      <c r="H347" s="46">
        <v>0.4632144467073056</v>
      </c>
      <c r="I347" s="46">
        <v>-0.21185263435875157</v>
      </c>
      <c r="J347" s="46">
        <v>0.16496362252609931</v>
      </c>
    </row>
    <row r="348" spans="1:10" ht="11.25" customHeight="1" x14ac:dyDescent="0.2">
      <c r="A348" s="55">
        <v>44682</v>
      </c>
      <c r="B348" s="45">
        <v>0</v>
      </c>
      <c r="C348" s="45">
        <v>0</v>
      </c>
      <c r="D348" s="45">
        <v>7729.7665500000003</v>
      </c>
      <c r="E348" s="45">
        <v>11310.306085634887</v>
      </c>
      <c r="F348" s="45">
        <v>6118.1257500000002</v>
      </c>
      <c r="G348" s="45">
        <v>4821.9846925243864</v>
      </c>
      <c r="H348" s="46">
        <v>0.46321444670730538</v>
      </c>
      <c r="I348" s="46">
        <v>-0.21185263435875168</v>
      </c>
      <c r="J348" s="46">
        <v>0.16496362252609909</v>
      </c>
    </row>
    <row r="349" spans="1:10" ht="11.25" customHeight="1" x14ac:dyDescent="0.2">
      <c r="A349" s="55">
        <v>44713</v>
      </c>
      <c r="B349" s="45">
        <v>0</v>
      </c>
      <c r="C349" s="45">
        <v>0</v>
      </c>
      <c r="D349" s="45">
        <v>8258.2504900000004</v>
      </c>
      <c r="E349" s="45">
        <v>12083.591421495687</v>
      </c>
      <c r="F349" s="45">
        <v>6536.4218500000006</v>
      </c>
      <c r="G349" s="45">
        <v>5151.6636617973954</v>
      </c>
      <c r="H349" s="46">
        <v>0.4632144467073056</v>
      </c>
      <c r="I349" s="46">
        <v>-0.21185263435875168</v>
      </c>
      <c r="J349" s="46">
        <v>0.16496362252609931</v>
      </c>
    </row>
    <row r="350" spans="1:10" ht="11.25" customHeight="1" x14ac:dyDescent="0.2">
      <c r="A350" s="55">
        <v>44743</v>
      </c>
      <c r="B350" s="45">
        <v>0</v>
      </c>
      <c r="C350" s="45">
        <v>0</v>
      </c>
      <c r="D350" s="45">
        <v>7978.69902</v>
      </c>
      <c r="E350" s="45">
        <v>11674.547671993421</v>
      </c>
      <c r="F350" s="45">
        <v>6315.1562999999996</v>
      </c>
      <c r="G350" s="45">
        <v>4977.2738014577326</v>
      </c>
      <c r="H350" s="46">
        <v>0.4632144467073056</v>
      </c>
      <c r="I350" s="46">
        <v>-0.21185263435875168</v>
      </c>
      <c r="J350" s="46">
        <v>0.16496362252609909</v>
      </c>
    </row>
    <row r="351" spans="1:10" ht="11.25" customHeight="1" x14ac:dyDescent="0.2">
      <c r="A351" s="55">
        <v>44774</v>
      </c>
      <c r="B351" s="45">
        <v>0</v>
      </c>
      <c r="C351" s="45">
        <v>0</v>
      </c>
      <c r="D351" s="45">
        <v>7978.69902</v>
      </c>
      <c r="E351" s="45">
        <v>11674.547671993421</v>
      </c>
      <c r="F351" s="45">
        <v>6315.1562999999996</v>
      </c>
      <c r="G351" s="45">
        <v>4977.2738014577326</v>
      </c>
      <c r="H351" s="46">
        <v>0.4632144467073056</v>
      </c>
      <c r="I351" s="46">
        <v>-0.21185263435875168</v>
      </c>
      <c r="J351" s="46">
        <v>0.16496362252609909</v>
      </c>
    </row>
    <row r="352" spans="1:10" ht="11.25" customHeight="1" x14ac:dyDescent="0.2">
      <c r="A352" s="50" t="s">
        <v>44</v>
      </c>
      <c r="B352" s="45">
        <v>0</v>
      </c>
      <c r="C352" s="45">
        <v>0</v>
      </c>
      <c r="D352" s="45">
        <v>107062.70159</v>
      </c>
      <c r="E352" s="45">
        <v>156655.69167000125</v>
      </c>
      <c r="F352" s="45">
        <v>84740.343349999996</v>
      </c>
      <c r="G352" s="45">
        <v>66787.878374837383</v>
      </c>
      <c r="H352" s="46">
        <v>0.46321444670730605</v>
      </c>
      <c r="I352" s="46">
        <v>-0.21185263435875157</v>
      </c>
      <c r="J352" s="46">
        <v>0.16496362252609953</v>
      </c>
    </row>
    <row r="353" spans="1:10" ht="11.25" customHeight="1" x14ac:dyDescent="0.2">
      <c r="A353" s="51" t="s">
        <v>25</v>
      </c>
      <c r="B353" s="45">
        <v>0</v>
      </c>
      <c r="C353" s="45">
        <v>0</v>
      </c>
      <c r="D353" s="45">
        <v>107062.70159</v>
      </c>
      <c r="E353" s="45">
        <v>156655.69167000125</v>
      </c>
      <c r="F353" s="45">
        <v>84740.343349999996</v>
      </c>
      <c r="G353" s="45">
        <v>66787.878374837383</v>
      </c>
      <c r="H353" s="46">
        <v>0.46321444670730605</v>
      </c>
      <c r="I353" s="46">
        <v>-0.21185263435875157</v>
      </c>
      <c r="J353" s="46">
        <v>0.16496362252609953</v>
      </c>
    </row>
    <row r="354" spans="1:10" ht="11.25" customHeight="1" x14ac:dyDescent="0.2">
      <c r="A354" s="52" t="s">
        <v>25</v>
      </c>
      <c r="B354" s="45">
        <v>0</v>
      </c>
      <c r="C354" s="45">
        <v>0</v>
      </c>
      <c r="D354" s="45">
        <v>107062.70159</v>
      </c>
      <c r="E354" s="45">
        <v>156655.69167000125</v>
      </c>
      <c r="F354" s="45">
        <v>84740.343349999996</v>
      </c>
      <c r="G354" s="45">
        <v>66787.878374837383</v>
      </c>
      <c r="H354" s="46">
        <v>0.46321444670730605</v>
      </c>
      <c r="I354" s="46">
        <v>-0.21185263435875157</v>
      </c>
      <c r="J354" s="46">
        <v>0.16496362252609953</v>
      </c>
    </row>
    <row r="355" spans="1:10" ht="11.25" customHeight="1" x14ac:dyDescent="0.2">
      <c r="A355" s="53" t="s">
        <v>25</v>
      </c>
      <c r="B355" s="45">
        <v>0</v>
      </c>
      <c r="C355" s="45">
        <v>0</v>
      </c>
      <c r="D355" s="45">
        <v>107062.70159</v>
      </c>
      <c r="E355" s="45">
        <v>156655.69167000125</v>
      </c>
      <c r="F355" s="45">
        <v>84740.343349999996</v>
      </c>
      <c r="G355" s="45">
        <v>66787.878374837383</v>
      </c>
      <c r="H355" s="46">
        <v>0.46321444670730605</v>
      </c>
      <c r="I355" s="46">
        <v>-0.21185263435875157</v>
      </c>
      <c r="J355" s="46">
        <v>0.16496362252609953</v>
      </c>
    </row>
    <row r="356" spans="1:10" ht="11.25" customHeight="1" x14ac:dyDescent="0.2">
      <c r="A356" s="54" t="s">
        <v>25</v>
      </c>
      <c r="B356" s="45">
        <v>0</v>
      </c>
      <c r="C356" s="45">
        <v>0</v>
      </c>
      <c r="D356" s="45">
        <v>107062.70159</v>
      </c>
      <c r="E356" s="45">
        <v>156655.69167000125</v>
      </c>
      <c r="F356" s="45">
        <v>84740.343349999996</v>
      </c>
      <c r="G356" s="45">
        <v>66787.878374837383</v>
      </c>
      <c r="H356" s="46">
        <v>0.46321444670730605</v>
      </c>
      <c r="I356" s="46">
        <v>-0.21185263435875157</v>
      </c>
      <c r="J356" s="46">
        <v>0.16496362252609953</v>
      </c>
    </row>
    <row r="357" spans="1:10" ht="11.25" customHeight="1" x14ac:dyDescent="0.2">
      <c r="A357" s="55">
        <v>44440</v>
      </c>
      <c r="B357" s="45">
        <v>0</v>
      </c>
      <c r="C357" s="45">
        <v>0</v>
      </c>
      <c r="D357" s="45">
        <v>6745.05951</v>
      </c>
      <c r="E357" s="45">
        <v>9869.4685189324991</v>
      </c>
      <c r="F357" s="45">
        <v>5338.7281499999999</v>
      </c>
      <c r="G357" s="45">
        <v>4207.7045272972755</v>
      </c>
      <c r="H357" s="46">
        <v>0.46321444670730538</v>
      </c>
      <c r="I357" s="46">
        <v>-0.21185263435875157</v>
      </c>
      <c r="J357" s="46">
        <v>0.16496362252609909</v>
      </c>
    </row>
    <row r="358" spans="1:10" ht="11.25" customHeight="1" x14ac:dyDescent="0.2">
      <c r="A358" s="55">
        <v>44470</v>
      </c>
      <c r="B358" s="45">
        <v>0</v>
      </c>
      <c r="C358" s="45">
        <v>0</v>
      </c>
      <c r="D358" s="45">
        <v>7693.6361299999999</v>
      </c>
      <c r="E358" s="45">
        <v>11257.439533125285</v>
      </c>
      <c r="F358" s="45">
        <v>6089.5284499999998</v>
      </c>
      <c r="G358" s="45">
        <v>4799.4458058649343</v>
      </c>
      <c r="H358" s="46">
        <v>0.4632144467073056</v>
      </c>
      <c r="I358" s="46">
        <v>-0.21185263435875168</v>
      </c>
      <c r="J358" s="46">
        <v>0.16496362252609909</v>
      </c>
    </row>
    <row r="359" spans="1:10" ht="11.25" customHeight="1" x14ac:dyDescent="0.2">
      <c r="A359" s="55">
        <v>44501</v>
      </c>
      <c r="B359" s="45">
        <v>0</v>
      </c>
      <c r="C359" s="45">
        <v>0</v>
      </c>
      <c r="D359" s="45">
        <v>8414.101200000001</v>
      </c>
      <c r="E359" s="45">
        <v>12311.634431897277</v>
      </c>
      <c r="F359" s="45">
        <v>6659.7780000000002</v>
      </c>
      <c r="G359" s="45">
        <v>5248.8864864555417</v>
      </c>
      <c r="H359" s="46">
        <v>0.4632144467073056</v>
      </c>
      <c r="I359" s="46">
        <v>-0.21185263435875168</v>
      </c>
      <c r="J359" s="46">
        <v>0.16496362252609931</v>
      </c>
    </row>
    <row r="360" spans="1:10" ht="11.25" customHeight="1" x14ac:dyDescent="0.2">
      <c r="A360" s="55">
        <v>44531</v>
      </c>
      <c r="B360" s="45">
        <v>0</v>
      </c>
      <c r="C360" s="45">
        <v>0</v>
      </c>
      <c r="D360" s="45">
        <v>10242.97407</v>
      </c>
      <c r="E360" s="45">
        <v>14987.66763647233</v>
      </c>
      <c r="F360" s="45">
        <v>8107.3345500000005</v>
      </c>
      <c r="G360" s="45">
        <v>6389.7743679547766</v>
      </c>
      <c r="H360" s="46">
        <v>0.46321444670730583</v>
      </c>
      <c r="I360" s="46">
        <v>-0.21185263435875157</v>
      </c>
      <c r="J360" s="46">
        <v>0.16496362252609931</v>
      </c>
    </row>
    <row r="361" spans="1:10" ht="11.25" customHeight="1" x14ac:dyDescent="0.2">
      <c r="A361" s="55">
        <v>44562</v>
      </c>
      <c r="B361" s="45">
        <v>0</v>
      </c>
      <c r="C361" s="45">
        <v>0</v>
      </c>
      <c r="D361" s="45">
        <v>7187.5040600000002</v>
      </c>
      <c r="E361" s="45">
        <v>10516.859776359413</v>
      </c>
      <c r="F361" s="45">
        <v>5688.9238999999998</v>
      </c>
      <c r="G361" s="45">
        <v>4483.7103851185366</v>
      </c>
      <c r="H361" s="46">
        <v>0.4632144467073056</v>
      </c>
      <c r="I361" s="46">
        <v>-0.21185263435875157</v>
      </c>
      <c r="J361" s="46">
        <v>0.16496362252609909</v>
      </c>
    </row>
    <row r="362" spans="1:10" ht="11.25" customHeight="1" x14ac:dyDescent="0.2">
      <c r="A362" s="55">
        <v>44593</v>
      </c>
      <c r="B362" s="45">
        <v>0</v>
      </c>
      <c r="C362" s="45">
        <v>0</v>
      </c>
      <c r="D362" s="45">
        <v>10802.995579999999</v>
      </c>
      <c r="E362" s="45">
        <v>15807.099200371167</v>
      </c>
      <c r="F362" s="45">
        <v>8550.5926999999992</v>
      </c>
      <c r="G362" s="45">
        <v>6739.127111176289</v>
      </c>
      <c r="H362" s="46">
        <v>0.4632144467073056</v>
      </c>
      <c r="I362" s="46">
        <v>-0.21185263435875157</v>
      </c>
      <c r="J362" s="46">
        <v>0.16496362252609931</v>
      </c>
    </row>
    <row r="363" spans="1:10" ht="11.25" customHeight="1" x14ac:dyDescent="0.2">
      <c r="A363" s="55">
        <v>44621</v>
      </c>
      <c r="B363" s="45">
        <v>0</v>
      </c>
      <c r="C363" s="45">
        <v>0</v>
      </c>
      <c r="D363" s="45">
        <v>13638.314980000001</v>
      </c>
      <c r="E363" s="45">
        <v>19955.77950748066</v>
      </c>
      <c r="F363" s="45">
        <v>10794.753699999999</v>
      </c>
      <c r="G363" s="45">
        <v>8507.856691401119</v>
      </c>
      <c r="H363" s="46">
        <v>0.4632144467073056</v>
      </c>
      <c r="I363" s="46">
        <v>-0.21185263435875157</v>
      </c>
      <c r="J363" s="46">
        <v>0.16496362252609931</v>
      </c>
    </row>
    <row r="364" spans="1:10" ht="11.25" customHeight="1" x14ac:dyDescent="0.2">
      <c r="A364" s="55">
        <v>44652</v>
      </c>
      <c r="B364" s="45">
        <v>0</v>
      </c>
      <c r="C364" s="45">
        <v>0</v>
      </c>
      <c r="D364" s="45">
        <v>9781.8519299999989</v>
      </c>
      <c r="E364" s="45">
        <v>14312.94705952774</v>
      </c>
      <c r="F364" s="45">
        <v>7742.35545</v>
      </c>
      <c r="G364" s="45">
        <v>6102.1170517756618</v>
      </c>
      <c r="H364" s="46">
        <v>0.46321444670730583</v>
      </c>
      <c r="I364" s="46">
        <v>-0.21185263435875168</v>
      </c>
      <c r="J364" s="46">
        <v>0.16496362252609909</v>
      </c>
    </row>
    <row r="365" spans="1:10" ht="11.25" customHeight="1" x14ac:dyDescent="0.2">
      <c r="A365" s="55">
        <v>44682</v>
      </c>
      <c r="B365" s="45">
        <v>0</v>
      </c>
      <c r="C365" s="45">
        <v>0</v>
      </c>
      <c r="D365" s="45">
        <v>7773.2455300000001</v>
      </c>
      <c r="E365" s="45">
        <v>11373.925157298987</v>
      </c>
      <c r="F365" s="45">
        <v>6152.5394500000002</v>
      </c>
      <c r="G365" s="45">
        <v>4849.1077595213555</v>
      </c>
      <c r="H365" s="46">
        <v>0.4632144467073056</v>
      </c>
      <c r="I365" s="46">
        <v>-0.21185263435875157</v>
      </c>
      <c r="J365" s="46">
        <v>0.16496362252609931</v>
      </c>
    </row>
    <row r="366" spans="1:10" ht="11.25" customHeight="1" x14ac:dyDescent="0.2">
      <c r="A366" s="55">
        <v>44713</v>
      </c>
      <c r="B366" s="45">
        <v>0</v>
      </c>
      <c r="C366" s="45">
        <v>0</v>
      </c>
      <c r="D366" s="45">
        <v>8253.0452600000008</v>
      </c>
      <c r="E366" s="45">
        <v>12075.975053761251</v>
      </c>
      <c r="F366" s="45">
        <v>6532.3019000000004</v>
      </c>
      <c r="G366" s="45">
        <v>5148.4165340583213</v>
      </c>
      <c r="H366" s="46">
        <v>0.46321444670730538</v>
      </c>
      <c r="I366" s="46">
        <v>-0.21185263435875168</v>
      </c>
      <c r="J366" s="46">
        <v>0.16496362252609909</v>
      </c>
    </row>
    <row r="367" spans="1:10" ht="11.25" customHeight="1" x14ac:dyDescent="0.2">
      <c r="A367" s="55">
        <v>44743</v>
      </c>
      <c r="B367" s="45">
        <v>0</v>
      </c>
      <c r="C367" s="45">
        <v>0</v>
      </c>
      <c r="D367" s="45">
        <v>8264.9866700000002</v>
      </c>
      <c r="E367" s="45">
        <v>12093.447897387307</v>
      </c>
      <c r="F367" s="45">
        <v>6541.7535499999994</v>
      </c>
      <c r="G367" s="45">
        <v>5155.8658271067843</v>
      </c>
      <c r="H367" s="46">
        <v>0.4632144467073056</v>
      </c>
      <c r="I367" s="46">
        <v>-0.21185263435875157</v>
      </c>
      <c r="J367" s="46">
        <v>0.16496362252609931</v>
      </c>
    </row>
    <row r="368" spans="1:10" ht="11.25" customHeight="1" x14ac:dyDescent="0.2">
      <c r="A368" s="55">
        <v>44774</v>
      </c>
      <c r="B368" s="45">
        <v>0</v>
      </c>
      <c r="C368" s="45">
        <v>0</v>
      </c>
      <c r="D368" s="45">
        <v>8264.9866700000002</v>
      </c>
      <c r="E368" s="45">
        <v>12093.447897387307</v>
      </c>
      <c r="F368" s="45">
        <v>6541.7535499999994</v>
      </c>
      <c r="G368" s="45">
        <v>5155.8658271067843</v>
      </c>
      <c r="H368" s="46">
        <v>0.4632144467073056</v>
      </c>
      <c r="I368" s="46">
        <v>-0.21185263435875157</v>
      </c>
      <c r="J368" s="46">
        <v>0.16496362252609931</v>
      </c>
    </row>
    <row r="369" spans="1:10" ht="11.25" customHeight="1" x14ac:dyDescent="0.2">
      <c r="A369" s="50" t="s">
        <v>48</v>
      </c>
      <c r="B369" s="45">
        <v>0</v>
      </c>
      <c r="C369" s="45">
        <v>0</v>
      </c>
      <c r="D369" s="45">
        <v>68207.251827999993</v>
      </c>
      <c r="E369" s="45">
        <v>99801.836244932871</v>
      </c>
      <c r="F369" s="45">
        <v>53986.176819999993</v>
      </c>
      <c r="G369" s="45">
        <v>42549.063041725618</v>
      </c>
      <c r="H369" s="46">
        <v>0.4632144467073056</v>
      </c>
      <c r="I369" s="46">
        <v>-0.21185263435875168</v>
      </c>
      <c r="J369" s="46">
        <v>0.16496362252609931</v>
      </c>
    </row>
    <row r="370" spans="1:10" ht="11.25" customHeight="1" x14ac:dyDescent="0.2">
      <c r="A370" s="51" t="s">
        <v>49</v>
      </c>
      <c r="B370" s="45">
        <v>0</v>
      </c>
      <c r="C370" s="45">
        <v>0</v>
      </c>
      <c r="D370" s="45">
        <v>68207.251827999993</v>
      </c>
      <c r="E370" s="45">
        <v>99801.836244932871</v>
      </c>
      <c r="F370" s="45">
        <v>53986.176819999993</v>
      </c>
      <c r="G370" s="45">
        <v>42549.063041725618</v>
      </c>
      <c r="H370" s="46">
        <v>0.4632144467073056</v>
      </c>
      <c r="I370" s="46">
        <v>-0.21185263435875168</v>
      </c>
      <c r="J370" s="46">
        <v>0.16496362252609931</v>
      </c>
    </row>
    <row r="371" spans="1:10" ht="11.25" customHeight="1" x14ac:dyDescent="0.2">
      <c r="A371" s="52" t="s">
        <v>25</v>
      </c>
      <c r="B371" s="45">
        <v>0</v>
      </c>
      <c r="C371" s="45">
        <v>0</v>
      </c>
      <c r="D371" s="45">
        <v>68207.251827999993</v>
      </c>
      <c r="E371" s="45">
        <v>99801.836244932871</v>
      </c>
      <c r="F371" s="45">
        <v>53986.176819999993</v>
      </c>
      <c r="G371" s="45">
        <v>42549.063041725618</v>
      </c>
      <c r="H371" s="46">
        <v>0.4632144467073056</v>
      </c>
      <c r="I371" s="46">
        <v>-0.21185263435875168</v>
      </c>
      <c r="J371" s="46">
        <v>0.16496362252609931</v>
      </c>
    </row>
    <row r="372" spans="1:10" ht="11.25" customHeight="1" x14ac:dyDescent="0.2">
      <c r="A372" s="53" t="s">
        <v>25</v>
      </c>
      <c r="B372" s="45">
        <v>0</v>
      </c>
      <c r="C372" s="45">
        <v>0</v>
      </c>
      <c r="D372" s="45">
        <v>68207.251827999993</v>
      </c>
      <c r="E372" s="45">
        <v>99801.836244932871</v>
      </c>
      <c r="F372" s="45">
        <v>53986.176819999993</v>
      </c>
      <c r="G372" s="45">
        <v>42549.063041725618</v>
      </c>
      <c r="H372" s="46">
        <v>0.4632144467073056</v>
      </c>
      <c r="I372" s="46">
        <v>-0.21185263435875168</v>
      </c>
      <c r="J372" s="46">
        <v>0.16496362252609931</v>
      </c>
    </row>
    <row r="373" spans="1:10" ht="11.25" customHeight="1" x14ac:dyDescent="0.2">
      <c r="A373" s="54" t="s">
        <v>25</v>
      </c>
      <c r="B373" s="45">
        <v>0</v>
      </c>
      <c r="C373" s="45">
        <v>0</v>
      </c>
      <c r="D373" s="45">
        <v>68207.251827999993</v>
      </c>
      <c r="E373" s="45">
        <v>99801.836244932871</v>
      </c>
      <c r="F373" s="45">
        <v>53986.176819999993</v>
      </c>
      <c r="G373" s="45">
        <v>42549.063041725618</v>
      </c>
      <c r="H373" s="46">
        <v>0.4632144467073056</v>
      </c>
      <c r="I373" s="46">
        <v>-0.21185263435875168</v>
      </c>
      <c r="J373" s="46">
        <v>0.16496362252609931</v>
      </c>
    </row>
    <row r="374" spans="1:10" ht="11.25" customHeight="1" x14ac:dyDescent="0.2">
      <c r="A374" s="55">
        <v>44440</v>
      </c>
      <c r="B374" s="45">
        <v>0</v>
      </c>
      <c r="C374" s="45">
        <v>0</v>
      </c>
      <c r="D374" s="45">
        <v>5704.2768333999993</v>
      </c>
      <c r="E374" s="45">
        <v>8346.5802706486811</v>
      </c>
      <c r="F374" s="45">
        <v>4514.9465709999995</v>
      </c>
      <c r="G374" s="45">
        <v>3558.4432459446371</v>
      </c>
      <c r="H374" s="46">
        <v>0.4632144467073056</v>
      </c>
      <c r="I374" s="46">
        <v>-0.21185263435875168</v>
      </c>
      <c r="J374" s="46">
        <v>0.16496362252609909</v>
      </c>
    </row>
    <row r="375" spans="1:10" ht="11.25" customHeight="1" x14ac:dyDescent="0.2">
      <c r="A375" s="55">
        <v>44470</v>
      </c>
      <c r="B375" s="45">
        <v>0</v>
      </c>
      <c r="C375" s="45">
        <v>0</v>
      </c>
      <c r="D375" s="45">
        <v>6449.7270073999989</v>
      </c>
      <c r="E375" s="45">
        <v>9437.3337345459549</v>
      </c>
      <c r="F375" s="45">
        <v>5104.9718809999995</v>
      </c>
      <c r="G375" s="45">
        <v>4023.4701396827982</v>
      </c>
      <c r="H375" s="46">
        <v>0.4632144467073056</v>
      </c>
      <c r="I375" s="46">
        <v>-0.21185263435875157</v>
      </c>
      <c r="J375" s="46">
        <v>0.16496362252609909</v>
      </c>
    </row>
    <row r="376" spans="1:10" ht="11.25" customHeight="1" x14ac:dyDescent="0.2">
      <c r="A376" s="55">
        <v>44501</v>
      </c>
      <c r="B376" s="45">
        <v>0</v>
      </c>
      <c r="C376" s="45">
        <v>0</v>
      </c>
      <c r="D376" s="45">
        <v>5849.6252263999995</v>
      </c>
      <c r="E376" s="45">
        <v>8559.2561390919727</v>
      </c>
      <c r="F376" s="45">
        <v>4629.9901159999999</v>
      </c>
      <c r="G376" s="45">
        <v>3649.1145128704179</v>
      </c>
      <c r="H376" s="46">
        <v>0.4632144467073056</v>
      </c>
      <c r="I376" s="46">
        <v>-0.21185263435875168</v>
      </c>
      <c r="J376" s="46">
        <v>0.16496362252609909</v>
      </c>
    </row>
    <row r="377" spans="1:10" ht="11.25" customHeight="1" x14ac:dyDescent="0.2">
      <c r="A377" s="55">
        <v>44531</v>
      </c>
      <c r="B377" s="45">
        <v>0</v>
      </c>
      <c r="C377" s="45">
        <v>0</v>
      </c>
      <c r="D377" s="45">
        <v>6497.2170764000002</v>
      </c>
      <c r="E377" s="45">
        <v>9506.8218895818845</v>
      </c>
      <c r="F377" s="45">
        <v>5142.5603660000006</v>
      </c>
      <c r="G377" s="45">
        <v>4053.0954051139943</v>
      </c>
      <c r="H377" s="46">
        <v>0.4632144467073056</v>
      </c>
      <c r="I377" s="46">
        <v>-0.21185263435875168</v>
      </c>
      <c r="J377" s="46">
        <v>0.16496362252609909</v>
      </c>
    </row>
    <row r="378" spans="1:10" ht="11.25" customHeight="1" x14ac:dyDescent="0.2">
      <c r="A378" s="55">
        <v>44562</v>
      </c>
      <c r="B378" s="45">
        <v>0</v>
      </c>
      <c r="C378" s="45">
        <v>0</v>
      </c>
      <c r="D378" s="45">
        <v>4999.6969005999999</v>
      </c>
      <c r="E378" s="45">
        <v>7315.6287341156594</v>
      </c>
      <c r="F378" s="45">
        <v>3957.2701389999997</v>
      </c>
      <c r="G378" s="45">
        <v>3118.9120351836268</v>
      </c>
      <c r="H378" s="46">
        <v>0.4632144467073056</v>
      </c>
      <c r="I378" s="46">
        <v>-0.21185263435875157</v>
      </c>
      <c r="J378" s="46">
        <v>0.16496362252609909</v>
      </c>
    </row>
    <row r="379" spans="1:10" ht="11.25" customHeight="1" x14ac:dyDescent="0.2">
      <c r="A379" s="55">
        <v>44593</v>
      </c>
      <c r="B379" s="45">
        <v>0</v>
      </c>
      <c r="C379" s="45">
        <v>0</v>
      </c>
      <c r="D379" s="45">
        <v>5821.1311850000002</v>
      </c>
      <c r="E379" s="45">
        <v>8517.5632460704182</v>
      </c>
      <c r="F379" s="45">
        <v>4607.4370250000002</v>
      </c>
      <c r="G379" s="45">
        <v>3631.339353611701</v>
      </c>
      <c r="H379" s="46">
        <v>0.46321444670730583</v>
      </c>
      <c r="I379" s="46">
        <v>-0.21185263435875157</v>
      </c>
      <c r="J379" s="46">
        <v>0.16496362252609909</v>
      </c>
    </row>
    <row r="380" spans="1:10" ht="11.25" customHeight="1" x14ac:dyDescent="0.2">
      <c r="A380" s="55">
        <v>44621</v>
      </c>
      <c r="B380" s="45">
        <v>0</v>
      </c>
      <c r="C380" s="45">
        <v>0</v>
      </c>
      <c r="D380" s="45">
        <v>5000.8481750000001</v>
      </c>
      <c r="E380" s="45">
        <v>7317.3132954498642</v>
      </c>
      <c r="F380" s="45">
        <v>3958.1813749999997</v>
      </c>
      <c r="G380" s="45">
        <v>3119.6302234365044</v>
      </c>
      <c r="H380" s="46">
        <v>0.4632144467073056</v>
      </c>
      <c r="I380" s="46">
        <v>-0.21185263435875157</v>
      </c>
      <c r="J380" s="46">
        <v>0.16496362252609931</v>
      </c>
    </row>
    <row r="381" spans="1:10" ht="11.25" customHeight="1" x14ac:dyDescent="0.2">
      <c r="A381" s="55">
        <v>44652</v>
      </c>
      <c r="B381" s="45">
        <v>0</v>
      </c>
      <c r="C381" s="45">
        <v>0</v>
      </c>
      <c r="D381" s="45">
        <v>5544.5375104000004</v>
      </c>
      <c r="E381" s="45">
        <v>8112.8473855278389</v>
      </c>
      <c r="F381" s="45">
        <v>4388.5125760000001</v>
      </c>
      <c r="G381" s="45">
        <v>3458.7946258578891</v>
      </c>
      <c r="H381" s="46">
        <v>0.4632144467073056</v>
      </c>
      <c r="I381" s="46">
        <v>-0.21185263435875157</v>
      </c>
      <c r="J381" s="46">
        <v>0.16496362252609931</v>
      </c>
    </row>
    <row r="382" spans="1:10" ht="11.25" customHeight="1" x14ac:dyDescent="0.2">
      <c r="A382" s="55">
        <v>44682</v>
      </c>
      <c r="B382" s="45">
        <v>0</v>
      </c>
      <c r="C382" s="45">
        <v>0</v>
      </c>
      <c r="D382" s="45">
        <v>5377.0270852000003</v>
      </c>
      <c r="E382" s="45">
        <v>7867.7437114011145</v>
      </c>
      <c r="F382" s="45">
        <v>4255.9277380000003</v>
      </c>
      <c r="G382" s="45">
        <v>3354.2982350642174</v>
      </c>
      <c r="H382" s="46">
        <v>0.4632144467073056</v>
      </c>
      <c r="I382" s="46">
        <v>-0.21185263435875168</v>
      </c>
      <c r="J382" s="46">
        <v>0.16496362252609909</v>
      </c>
    </row>
    <row r="383" spans="1:10" ht="11.25" customHeight="1" x14ac:dyDescent="0.2">
      <c r="A383" s="55">
        <v>44713</v>
      </c>
      <c r="B383" s="45">
        <v>0</v>
      </c>
      <c r="C383" s="45">
        <v>0</v>
      </c>
      <c r="D383" s="45">
        <v>5847.0348590000003</v>
      </c>
      <c r="E383" s="45">
        <v>8555.4658760900129</v>
      </c>
      <c r="F383" s="45">
        <v>4627.9398350000001</v>
      </c>
      <c r="G383" s="45">
        <v>3647.4985893014436</v>
      </c>
      <c r="H383" s="46">
        <v>0.46321444670730538</v>
      </c>
      <c r="I383" s="46">
        <v>-0.21185263435875168</v>
      </c>
      <c r="J383" s="46">
        <v>0.16496362252609909</v>
      </c>
    </row>
    <row r="384" spans="1:10" ht="11.25" customHeight="1" x14ac:dyDescent="0.2">
      <c r="A384" s="55">
        <v>44743</v>
      </c>
      <c r="B384" s="45">
        <v>0</v>
      </c>
      <c r="C384" s="45">
        <v>0</v>
      </c>
      <c r="D384" s="45">
        <v>5558.0649845999997</v>
      </c>
      <c r="E384" s="45">
        <v>8132.6409812047377</v>
      </c>
      <c r="F384" s="45">
        <v>4399.219599</v>
      </c>
      <c r="G384" s="45">
        <v>3467.2333378291987</v>
      </c>
      <c r="H384" s="46">
        <v>0.4632144467073056</v>
      </c>
      <c r="I384" s="46">
        <v>-0.21185263435875168</v>
      </c>
      <c r="J384" s="46">
        <v>0.16496362252609931</v>
      </c>
    </row>
    <row r="385" spans="1:10" ht="11.25" customHeight="1" x14ac:dyDescent="0.2">
      <c r="A385" s="55">
        <v>44774</v>
      </c>
      <c r="B385" s="45">
        <v>0</v>
      </c>
      <c r="C385" s="45">
        <v>0</v>
      </c>
      <c r="D385" s="45">
        <v>5558.0649845999997</v>
      </c>
      <c r="E385" s="45">
        <v>8132.6409812047377</v>
      </c>
      <c r="F385" s="45">
        <v>4399.219599</v>
      </c>
      <c r="G385" s="45">
        <v>3467.2333378291987</v>
      </c>
      <c r="H385" s="46">
        <v>0.4632144467073056</v>
      </c>
      <c r="I385" s="46">
        <v>-0.21185263435875168</v>
      </c>
      <c r="J385" s="46">
        <v>0.16496362252609931</v>
      </c>
    </row>
    <row r="386" spans="1:10" ht="11.25" customHeight="1" x14ac:dyDescent="0.2">
      <c r="A386" s="48" t="s">
        <v>45</v>
      </c>
      <c r="B386" s="45">
        <v>0</v>
      </c>
      <c r="C386" s="45">
        <v>0</v>
      </c>
      <c r="D386" s="45">
        <v>203768.71520000001</v>
      </c>
      <c r="E386" s="45">
        <v>298165.29525465384</v>
      </c>
      <c r="F386" s="45">
        <v>161284.63211999999</v>
      </c>
      <c r="G386" s="45">
        <v>127118.44212474726</v>
      </c>
      <c r="H386" s="46">
        <v>0.46325354685582187</v>
      </c>
      <c r="I386" s="46">
        <v>-0.21183785179131132</v>
      </c>
      <c r="J386" s="46">
        <v>0.16499065274041746</v>
      </c>
    </row>
    <row r="387" spans="1:10" ht="11.25" customHeight="1" x14ac:dyDescent="0.2">
      <c r="A387" s="49" t="s">
        <v>23</v>
      </c>
      <c r="B387" s="45">
        <v>0</v>
      </c>
      <c r="C387" s="45">
        <v>0</v>
      </c>
      <c r="D387" s="45">
        <v>203768.71520000001</v>
      </c>
      <c r="E387" s="45">
        <v>298165.29525465384</v>
      </c>
      <c r="F387" s="45">
        <v>161284.63211999999</v>
      </c>
      <c r="G387" s="45">
        <v>127118.44212474726</v>
      </c>
      <c r="H387" s="46">
        <v>0.46325354685582187</v>
      </c>
      <c r="I387" s="46">
        <v>-0.21183785179131132</v>
      </c>
      <c r="J387" s="46">
        <v>0.16499065274041746</v>
      </c>
    </row>
    <row r="388" spans="1:10" ht="11.25" customHeight="1" x14ac:dyDescent="0.2">
      <c r="A388" s="50" t="s">
        <v>46</v>
      </c>
      <c r="B388" s="45">
        <v>0</v>
      </c>
      <c r="C388" s="45">
        <v>0</v>
      </c>
      <c r="D388" s="45">
        <v>203768.71520000001</v>
      </c>
      <c r="E388" s="45">
        <v>298165.29525465384</v>
      </c>
      <c r="F388" s="45">
        <v>161284.63211999999</v>
      </c>
      <c r="G388" s="45">
        <v>127118.44212474726</v>
      </c>
      <c r="H388" s="46">
        <v>0.46325354685582187</v>
      </c>
      <c r="I388" s="46">
        <v>-0.21183785179131132</v>
      </c>
      <c r="J388" s="46">
        <v>0.16499065274041746</v>
      </c>
    </row>
    <row r="389" spans="1:10" ht="11.25" customHeight="1" x14ac:dyDescent="0.2">
      <c r="A389" s="51" t="s">
        <v>47</v>
      </c>
      <c r="B389" s="45">
        <v>0</v>
      </c>
      <c r="C389" s="45">
        <v>0</v>
      </c>
      <c r="D389" s="45">
        <v>203768.71520000001</v>
      </c>
      <c r="E389" s="45">
        <v>298165.29525465384</v>
      </c>
      <c r="F389" s="45">
        <v>161284.63211999999</v>
      </c>
      <c r="G389" s="45">
        <v>127118.44212474726</v>
      </c>
      <c r="H389" s="46">
        <v>0.46325354685582187</v>
      </c>
      <c r="I389" s="46">
        <v>-0.21183785179131132</v>
      </c>
      <c r="J389" s="46">
        <v>0.16499065274041746</v>
      </c>
    </row>
    <row r="390" spans="1:10" ht="11.25" customHeight="1" x14ac:dyDescent="0.2">
      <c r="A390" s="52" t="s">
        <v>25</v>
      </c>
      <c r="B390" s="45">
        <v>0</v>
      </c>
      <c r="C390" s="45">
        <v>0</v>
      </c>
      <c r="D390" s="45">
        <v>203768.71520000001</v>
      </c>
      <c r="E390" s="45">
        <v>298165.29525465384</v>
      </c>
      <c r="F390" s="45">
        <v>161284.63211999999</v>
      </c>
      <c r="G390" s="45">
        <v>127118.44212474726</v>
      </c>
      <c r="H390" s="46">
        <v>0.46325354685582187</v>
      </c>
      <c r="I390" s="46">
        <v>-0.21183785179131132</v>
      </c>
      <c r="J390" s="46">
        <v>0.16499065274041746</v>
      </c>
    </row>
    <row r="391" spans="1:10" ht="11.25" customHeight="1" x14ac:dyDescent="0.2">
      <c r="A391" s="53" t="s">
        <v>25</v>
      </c>
      <c r="B391" s="45">
        <v>0</v>
      </c>
      <c r="C391" s="45">
        <v>0</v>
      </c>
      <c r="D391" s="45">
        <v>203768.71520000001</v>
      </c>
      <c r="E391" s="45">
        <v>298165.29525465384</v>
      </c>
      <c r="F391" s="45">
        <v>161284.63211999999</v>
      </c>
      <c r="G391" s="45">
        <v>127118.44212474726</v>
      </c>
      <c r="H391" s="46">
        <v>0.46325354685582187</v>
      </c>
      <c r="I391" s="46">
        <v>-0.21183785179131132</v>
      </c>
      <c r="J391" s="46">
        <v>0.16499065274041746</v>
      </c>
    </row>
    <row r="392" spans="1:10" ht="11.25" customHeight="1" x14ac:dyDescent="0.2">
      <c r="A392" s="54" t="s">
        <v>25</v>
      </c>
      <c r="B392" s="45">
        <v>0</v>
      </c>
      <c r="C392" s="45">
        <v>0</v>
      </c>
      <c r="D392" s="45">
        <v>203768.71520000001</v>
      </c>
      <c r="E392" s="45">
        <v>298165.29525465384</v>
      </c>
      <c r="F392" s="45">
        <v>161284.63211999999</v>
      </c>
      <c r="G392" s="45">
        <v>127118.44212474726</v>
      </c>
      <c r="H392" s="46">
        <v>0.46325354685582187</v>
      </c>
      <c r="I392" s="46">
        <v>-0.21183785179131132</v>
      </c>
      <c r="J392" s="46">
        <v>0.16499065274041746</v>
      </c>
    </row>
    <row r="393" spans="1:10" ht="11.25" customHeight="1" x14ac:dyDescent="0.2">
      <c r="A393" s="55">
        <v>44440</v>
      </c>
      <c r="B393" s="45">
        <v>0</v>
      </c>
      <c r="C393" s="45">
        <v>0</v>
      </c>
      <c r="D393" s="45">
        <v>16298.930800000002</v>
      </c>
      <c r="E393" s="45">
        <v>23849.468303057605</v>
      </c>
      <c r="F393" s="45">
        <v>12900.739229999999</v>
      </c>
      <c r="G393" s="45">
        <v>10167.874344996904</v>
      </c>
      <c r="H393" s="46">
        <v>0.4632535468558221</v>
      </c>
      <c r="I393" s="46">
        <v>-0.21183785179131132</v>
      </c>
      <c r="J393" s="46">
        <v>0.16499065274041746</v>
      </c>
    </row>
    <row r="394" spans="1:10" ht="11.25" customHeight="1" x14ac:dyDescent="0.2">
      <c r="A394" s="55">
        <v>44470</v>
      </c>
      <c r="B394" s="45">
        <v>0</v>
      </c>
      <c r="C394" s="45">
        <v>0</v>
      </c>
      <c r="D394" s="45">
        <v>16700.5648</v>
      </c>
      <c r="E394" s="45">
        <v>24437.160678095497</v>
      </c>
      <c r="F394" s="45">
        <v>13218.635879999998</v>
      </c>
      <c r="G394" s="45">
        <v>10418.428451569249</v>
      </c>
      <c r="H394" s="46">
        <v>0.46325354685582232</v>
      </c>
      <c r="I394" s="46">
        <v>-0.21183785179131132</v>
      </c>
      <c r="J394" s="46">
        <v>0.16499065274041769</v>
      </c>
    </row>
    <row r="395" spans="1:10" ht="11.25" customHeight="1" x14ac:dyDescent="0.2">
      <c r="A395" s="55">
        <v>44501</v>
      </c>
      <c r="B395" s="45">
        <v>0</v>
      </c>
      <c r="C395" s="45">
        <v>0</v>
      </c>
      <c r="D395" s="45">
        <v>15240.873600000001</v>
      </c>
      <c r="E395" s="45">
        <v>22301.262352381265</v>
      </c>
      <c r="F395" s="45">
        <v>12063.27816</v>
      </c>
      <c r="G395" s="45">
        <v>9507.819229024557</v>
      </c>
      <c r="H395" s="46">
        <v>0.46325354685582232</v>
      </c>
      <c r="I395" s="46">
        <v>-0.21183785179131132</v>
      </c>
      <c r="J395" s="46">
        <v>0.16499065274041769</v>
      </c>
    </row>
    <row r="396" spans="1:10" ht="11.25" customHeight="1" x14ac:dyDescent="0.2">
      <c r="A396" s="55">
        <v>44531</v>
      </c>
      <c r="B396" s="45">
        <v>0</v>
      </c>
      <c r="C396" s="45">
        <v>0</v>
      </c>
      <c r="D396" s="45">
        <v>15991.600800000002</v>
      </c>
      <c r="E396" s="45">
        <v>23399.766590502404</v>
      </c>
      <c r="F396" s="45">
        <v>12657.484979999999</v>
      </c>
      <c r="G396" s="45">
        <v>9976.1505527560112</v>
      </c>
      <c r="H396" s="46">
        <v>0.4632535468558221</v>
      </c>
      <c r="I396" s="46">
        <v>-0.2118378517913112</v>
      </c>
      <c r="J396" s="46">
        <v>0.16499065274041746</v>
      </c>
    </row>
    <row r="397" spans="1:10" ht="11.25" customHeight="1" x14ac:dyDescent="0.2">
      <c r="A397" s="55">
        <v>44562</v>
      </c>
      <c r="B397" s="45">
        <v>0</v>
      </c>
      <c r="C397" s="45">
        <v>0</v>
      </c>
      <c r="D397" s="45">
        <v>15643.349600000001</v>
      </c>
      <c r="E397" s="45">
        <v>22890.186786905611</v>
      </c>
      <c r="F397" s="45">
        <v>12381.841259999999</v>
      </c>
      <c r="G397" s="45">
        <v>9758.8986062605763</v>
      </c>
      <c r="H397" s="46">
        <v>0.46325354685582232</v>
      </c>
      <c r="I397" s="46">
        <v>-0.21183785179131132</v>
      </c>
      <c r="J397" s="46">
        <v>0.16499065274041769</v>
      </c>
    </row>
    <row r="398" spans="1:10" ht="11.25" customHeight="1" x14ac:dyDescent="0.2">
      <c r="A398" s="55">
        <v>44593</v>
      </c>
      <c r="B398" s="45">
        <v>0</v>
      </c>
      <c r="C398" s="45">
        <v>0</v>
      </c>
      <c r="D398" s="45">
        <v>15572.9584</v>
      </c>
      <c r="E398" s="45">
        <v>22787.18661383817</v>
      </c>
      <c r="F398" s="45">
        <v>12326.126039999999</v>
      </c>
      <c r="G398" s="45">
        <v>9714.9859787774567</v>
      </c>
      <c r="H398" s="46">
        <v>0.46325354685582232</v>
      </c>
      <c r="I398" s="46">
        <v>-0.21183785179131132</v>
      </c>
      <c r="J398" s="46">
        <v>0.16499065274041769</v>
      </c>
    </row>
    <row r="399" spans="1:10" ht="11.25" customHeight="1" x14ac:dyDescent="0.2">
      <c r="A399" s="55">
        <v>44621</v>
      </c>
      <c r="B399" s="45">
        <v>0</v>
      </c>
      <c r="C399" s="45">
        <v>0</v>
      </c>
      <c r="D399" s="45">
        <v>15661.0316</v>
      </c>
      <c r="E399" s="45">
        <v>22916.060036121111</v>
      </c>
      <c r="F399" s="45">
        <v>12395.836709999998</v>
      </c>
      <c r="G399" s="45">
        <v>9769.9292901977242</v>
      </c>
      <c r="H399" s="46">
        <v>0.4632535468558221</v>
      </c>
      <c r="I399" s="46">
        <v>-0.2118378517913112</v>
      </c>
      <c r="J399" s="46">
        <v>0.16499065274041769</v>
      </c>
    </row>
    <row r="400" spans="1:10" ht="11.25" customHeight="1" x14ac:dyDescent="0.2">
      <c r="A400" s="55">
        <v>44652</v>
      </c>
      <c r="B400" s="45">
        <v>0</v>
      </c>
      <c r="C400" s="45">
        <v>0</v>
      </c>
      <c r="D400" s="45">
        <v>16949.628400000001</v>
      </c>
      <c r="E400" s="45">
        <v>24801.603874188175</v>
      </c>
      <c r="F400" s="45">
        <v>13415.771789999999</v>
      </c>
      <c r="G400" s="45">
        <v>10573.803513883924</v>
      </c>
      <c r="H400" s="46">
        <v>0.4632535468558221</v>
      </c>
      <c r="I400" s="46">
        <v>-0.21183785179131132</v>
      </c>
      <c r="J400" s="46">
        <v>0.16499065274041746</v>
      </c>
    </row>
    <row r="401" spans="1:10" ht="11.25" customHeight="1" x14ac:dyDescent="0.2">
      <c r="A401" s="55">
        <v>44682</v>
      </c>
      <c r="B401" s="45">
        <v>0</v>
      </c>
      <c r="C401" s="45">
        <v>0</v>
      </c>
      <c r="D401" s="45">
        <v>17464.090400000001</v>
      </c>
      <c r="E401" s="45">
        <v>25554.392220410718</v>
      </c>
      <c r="F401" s="45">
        <v>13822.972739999999</v>
      </c>
      <c r="G401" s="45">
        <v>10894.743889388545</v>
      </c>
      <c r="H401" s="46">
        <v>0.46325354685582232</v>
      </c>
      <c r="I401" s="46">
        <v>-0.2118378517913112</v>
      </c>
      <c r="J401" s="46">
        <v>0.16499065274041769</v>
      </c>
    </row>
    <row r="402" spans="1:10" ht="11.25" customHeight="1" x14ac:dyDescent="0.2">
      <c r="A402" s="55">
        <v>44713</v>
      </c>
      <c r="B402" s="45">
        <v>0</v>
      </c>
      <c r="C402" s="45">
        <v>0</v>
      </c>
      <c r="D402" s="45">
        <v>18579.403599999998</v>
      </c>
      <c r="E402" s="45">
        <v>27186.378216165831</v>
      </c>
      <c r="F402" s="45">
        <v>14705.752409999999</v>
      </c>
      <c r="G402" s="45">
        <v>11590.5174104907</v>
      </c>
      <c r="H402" s="46">
        <v>0.46325354685582232</v>
      </c>
      <c r="I402" s="46">
        <v>-0.21183785179131132</v>
      </c>
      <c r="J402" s="46">
        <v>0.16499065274041746</v>
      </c>
    </row>
    <row r="403" spans="1:10" ht="11.25" customHeight="1" x14ac:dyDescent="0.2">
      <c r="A403" s="55">
        <v>44743</v>
      </c>
      <c r="B403" s="45">
        <v>0</v>
      </c>
      <c r="C403" s="45">
        <v>0</v>
      </c>
      <c r="D403" s="45">
        <v>19833.141599999999</v>
      </c>
      <c r="E403" s="45">
        <v>29020.914791493757</v>
      </c>
      <c r="F403" s="45">
        <v>15698.096459999999</v>
      </c>
      <c r="G403" s="45">
        <v>12372.645428700811</v>
      </c>
      <c r="H403" s="46">
        <v>0.46325354685582232</v>
      </c>
      <c r="I403" s="46">
        <v>-0.21183785179131132</v>
      </c>
      <c r="J403" s="46">
        <v>0.16499065274041769</v>
      </c>
    </row>
    <row r="404" spans="1:10" ht="11.25" customHeight="1" x14ac:dyDescent="0.2">
      <c r="A404" s="55">
        <v>44774</v>
      </c>
      <c r="B404" s="45">
        <v>0</v>
      </c>
      <c r="C404" s="45">
        <v>0</v>
      </c>
      <c r="D404" s="45">
        <v>19833.141599999999</v>
      </c>
      <c r="E404" s="45">
        <v>29020.914791493757</v>
      </c>
      <c r="F404" s="45">
        <v>15698.096459999999</v>
      </c>
      <c r="G404" s="45">
        <v>12372.645428700811</v>
      </c>
      <c r="H404" s="46">
        <v>0.46325354685582232</v>
      </c>
      <c r="I404" s="46">
        <v>-0.21183785179131132</v>
      </c>
      <c r="J404" s="46">
        <v>0.16499065274041769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D023-5EE8-470A-B0F8-758B970AEB83}">
  <dimension ref="A1:G186"/>
  <sheetViews>
    <sheetView showGridLines="0" workbookViewId="0"/>
  </sheetViews>
  <sheetFormatPr defaultColWidth="9.109375" defaultRowHeight="11.25" customHeight="1" x14ac:dyDescent="0.2"/>
  <cols>
    <col min="1" max="1" width="34.6640625" style="14" bestFit="1" customWidth="1"/>
    <col min="2" max="2" width="20.44140625" style="45" bestFit="1" customWidth="1"/>
    <col min="3" max="3" width="21.88671875" style="45" bestFit="1" customWidth="1"/>
    <col min="4" max="4" width="20.33203125" style="45" bestFit="1" customWidth="1"/>
    <col min="5" max="5" width="21.6640625" style="45" bestFit="1" customWidth="1"/>
    <col min="6" max="6" width="14.88671875" style="45" bestFit="1" customWidth="1"/>
    <col min="7" max="7" width="14.6640625" style="45" bestFit="1" customWidth="1"/>
    <col min="8" max="16384" width="9.109375" style="14"/>
  </cols>
  <sheetData>
    <row r="1" spans="1:7" ht="11.25" customHeight="1" x14ac:dyDescent="0.2">
      <c r="A1" s="44" t="s">
        <v>609</v>
      </c>
      <c r="B1" s="45" t="s">
        <v>635</v>
      </c>
      <c r="C1" s="45" t="s">
        <v>636</v>
      </c>
      <c r="D1" s="45" t="s">
        <v>637</v>
      </c>
      <c r="E1" s="45" t="s">
        <v>638</v>
      </c>
      <c r="F1" s="45" t="s">
        <v>639</v>
      </c>
      <c r="G1" s="45" t="s">
        <v>640</v>
      </c>
    </row>
    <row r="2" spans="1:7" ht="11.25" customHeight="1" x14ac:dyDescent="0.2">
      <c r="A2" s="47" t="s">
        <v>627</v>
      </c>
      <c r="B2" s="45">
        <v>0</v>
      </c>
      <c r="C2" s="45">
        <v>7799.5805520000031</v>
      </c>
      <c r="D2" s="45">
        <v>0</v>
      </c>
      <c r="E2" s="45">
        <v>9086.2276140420381</v>
      </c>
      <c r="F2" s="45">
        <v>7799.5805520000031</v>
      </c>
      <c r="G2" s="45">
        <v>9086.2276140420381</v>
      </c>
    </row>
    <row r="3" spans="1:7" ht="11.25" customHeight="1" x14ac:dyDescent="0.2">
      <c r="A3" s="48" t="s">
        <v>33</v>
      </c>
      <c r="B3" s="45">
        <v>0</v>
      </c>
      <c r="C3" s="45">
        <v>7799.5805520000031</v>
      </c>
      <c r="D3" s="45">
        <v>0</v>
      </c>
      <c r="E3" s="45">
        <v>9086.2276140420381</v>
      </c>
      <c r="F3" s="45">
        <v>7799.5805520000031</v>
      </c>
      <c r="G3" s="45">
        <v>9086.2276140420381</v>
      </c>
    </row>
    <row r="4" spans="1:7" ht="11.25" customHeight="1" x14ac:dyDescent="0.2">
      <c r="A4" s="49" t="s">
        <v>23</v>
      </c>
      <c r="B4" s="45">
        <v>0</v>
      </c>
      <c r="C4" s="45">
        <v>7799.5805520000031</v>
      </c>
      <c r="D4" s="45">
        <v>0</v>
      </c>
      <c r="E4" s="45">
        <v>9086.2276140420381</v>
      </c>
      <c r="F4" s="45">
        <v>7799.5805520000031</v>
      </c>
      <c r="G4" s="45">
        <v>9086.2276140420381</v>
      </c>
    </row>
    <row r="5" spans="1:7" ht="11.25" customHeight="1" x14ac:dyDescent="0.2">
      <c r="A5" s="50" t="s">
        <v>48</v>
      </c>
      <c r="B5" s="45">
        <v>0</v>
      </c>
      <c r="C5" s="45">
        <v>7799.5805520000031</v>
      </c>
      <c r="D5" s="45">
        <v>0</v>
      </c>
      <c r="E5" s="45">
        <v>9086.2276140420381</v>
      </c>
      <c r="F5" s="45">
        <v>7799.5805520000031</v>
      </c>
      <c r="G5" s="45">
        <v>9086.2276140420381</v>
      </c>
    </row>
    <row r="6" spans="1:7" ht="11.25" customHeight="1" x14ac:dyDescent="0.2">
      <c r="A6" s="51" t="s">
        <v>49</v>
      </c>
      <c r="B6" s="45">
        <v>0</v>
      </c>
      <c r="C6" s="45">
        <v>7799.5805520000031</v>
      </c>
      <c r="D6" s="45">
        <v>0</v>
      </c>
      <c r="E6" s="45">
        <v>9086.2276140420381</v>
      </c>
      <c r="F6" s="45">
        <v>7799.5805520000031</v>
      </c>
      <c r="G6" s="45">
        <v>9086.2276140420381</v>
      </c>
    </row>
    <row r="7" spans="1:7" ht="11.25" customHeight="1" x14ac:dyDescent="0.2">
      <c r="A7" s="52" t="s">
        <v>25</v>
      </c>
      <c r="B7" s="45">
        <v>0</v>
      </c>
      <c r="C7" s="45">
        <v>7799.5805520000031</v>
      </c>
      <c r="D7" s="45">
        <v>0</v>
      </c>
      <c r="E7" s="45">
        <v>9086.2276140420381</v>
      </c>
      <c r="F7" s="45">
        <v>7799.5805520000031</v>
      </c>
      <c r="G7" s="45">
        <v>9086.2276140420381</v>
      </c>
    </row>
    <row r="8" spans="1:7" ht="11.25" customHeight="1" x14ac:dyDescent="0.2">
      <c r="A8" s="53" t="s">
        <v>25</v>
      </c>
      <c r="B8" s="45">
        <v>0</v>
      </c>
      <c r="C8" s="45">
        <v>7799.5805520000031</v>
      </c>
      <c r="D8" s="45">
        <v>0</v>
      </c>
      <c r="E8" s="45">
        <v>9086.2276140420381</v>
      </c>
      <c r="F8" s="45">
        <v>7799.5805520000031</v>
      </c>
      <c r="G8" s="45">
        <v>9086.2276140420381</v>
      </c>
    </row>
    <row r="9" spans="1:7" ht="11.25" customHeight="1" x14ac:dyDescent="0.2">
      <c r="A9" s="54" t="s">
        <v>25</v>
      </c>
      <c r="B9" s="45">
        <v>0</v>
      </c>
      <c r="C9" s="45">
        <v>7799.5805520000031</v>
      </c>
      <c r="D9" s="45">
        <v>0</v>
      </c>
      <c r="E9" s="45">
        <v>9086.2276140420381</v>
      </c>
      <c r="F9" s="45">
        <v>7799.5805520000031</v>
      </c>
      <c r="G9" s="45">
        <v>9086.2276140420381</v>
      </c>
    </row>
    <row r="10" spans="1:7" ht="11.25" customHeight="1" x14ac:dyDescent="0.2">
      <c r="A10" s="55">
        <v>44440</v>
      </c>
      <c r="B10" s="45">
        <v>0</v>
      </c>
      <c r="C10" s="45">
        <v>652.29085560000112</v>
      </c>
      <c r="D10" s="45">
        <v>0</v>
      </c>
      <c r="E10" s="45">
        <v>759.89511808042585</v>
      </c>
      <c r="F10" s="45">
        <v>652.29085560000112</v>
      </c>
      <c r="G10" s="45">
        <v>759.89511808042585</v>
      </c>
    </row>
    <row r="11" spans="1:7" ht="11.25" customHeight="1" x14ac:dyDescent="0.2">
      <c r="A11" s="55">
        <v>44470</v>
      </c>
      <c r="B11" s="45">
        <v>0</v>
      </c>
      <c r="C11" s="45">
        <v>737.53397160000111</v>
      </c>
      <c r="D11" s="45">
        <v>0</v>
      </c>
      <c r="E11" s="45">
        <v>859.20024729119859</v>
      </c>
      <c r="F11" s="45">
        <v>737.53397160000111</v>
      </c>
      <c r="G11" s="45">
        <v>859.20024729119859</v>
      </c>
    </row>
    <row r="12" spans="1:7" ht="11.25" customHeight="1" x14ac:dyDescent="0.2">
      <c r="A12" s="55">
        <v>44501</v>
      </c>
      <c r="B12" s="45">
        <v>0</v>
      </c>
      <c r="C12" s="45">
        <v>668.91161760000125</v>
      </c>
      <c r="D12" s="45">
        <v>0</v>
      </c>
      <c r="E12" s="45">
        <v>779.25770118909031</v>
      </c>
      <c r="F12" s="45">
        <v>668.91161760000125</v>
      </c>
      <c r="G12" s="45">
        <v>779.25770118909031</v>
      </c>
    </row>
    <row r="13" spans="1:7" ht="11.25" customHeight="1" x14ac:dyDescent="0.2">
      <c r="A13" s="55">
        <v>44531</v>
      </c>
      <c r="B13" s="45">
        <v>0</v>
      </c>
      <c r="C13" s="45">
        <v>742.96451760000014</v>
      </c>
      <c r="D13" s="45">
        <v>0</v>
      </c>
      <c r="E13" s="45">
        <v>865.5266358316519</v>
      </c>
      <c r="F13" s="45">
        <v>742.96451760000014</v>
      </c>
      <c r="G13" s="45">
        <v>865.5266358316519</v>
      </c>
    </row>
    <row r="14" spans="1:7" ht="11.25" customHeight="1" x14ac:dyDescent="0.2">
      <c r="A14" s="55">
        <v>44562</v>
      </c>
      <c r="B14" s="45">
        <v>0</v>
      </c>
      <c r="C14" s="45">
        <v>571.72130039999934</v>
      </c>
      <c r="D14" s="45">
        <v>0</v>
      </c>
      <c r="E14" s="45">
        <v>666.03451718931547</v>
      </c>
      <c r="F14" s="45">
        <v>571.72130039999934</v>
      </c>
      <c r="G14" s="45">
        <v>666.03451718931547</v>
      </c>
    </row>
    <row r="15" spans="1:7" ht="11.25" customHeight="1" x14ac:dyDescent="0.2">
      <c r="A15" s="55">
        <v>44593</v>
      </c>
      <c r="B15" s="45">
        <v>0</v>
      </c>
      <c r="C15" s="45">
        <v>665.65328999999986</v>
      </c>
      <c r="D15" s="45">
        <v>0</v>
      </c>
      <c r="E15" s="45">
        <v>775.46186806481592</v>
      </c>
      <c r="F15" s="45">
        <v>665.65328999999986</v>
      </c>
      <c r="G15" s="45">
        <v>775.46186806481592</v>
      </c>
    </row>
    <row r="16" spans="1:7" ht="11.25" customHeight="1" x14ac:dyDescent="0.2">
      <c r="A16" s="55">
        <v>44621</v>
      </c>
      <c r="B16" s="45">
        <v>0</v>
      </c>
      <c r="C16" s="45">
        <v>571.85295000000019</v>
      </c>
      <c r="D16" s="45">
        <v>0</v>
      </c>
      <c r="E16" s="45">
        <v>666.18788418423651</v>
      </c>
      <c r="F16" s="45">
        <v>571.85295000000019</v>
      </c>
      <c r="G16" s="45">
        <v>666.18788418423651</v>
      </c>
    </row>
    <row r="17" spans="1:7" ht="11.25" customHeight="1" x14ac:dyDescent="0.2">
      <c r="A17" s="55">
        <v>44652</v>
      </c>
      <c r="B17" s="45">
        <v>0</v>
      </c>
      <c r="C17" s="45">
        <v>634.02447359999883</v>
      </c>
      <c r="D17" s="45">
        <v>0</v>
      </c>
      <c r="E17" s="45">
        <v>738.61544753525766</v>
      </c>
      <c r="F17" s="45">
        <v>634.02447359999883</v>
      </c>
      <c r="G17" s="45">
        <v>738.61544753525766</v>
      </c>
    </row>
    <row r="18" spans="1:7" ht="11.25" customHeight="1" x14ac:dyDescent="0.2">
      <c r="A18" s="55">
        <v>44682</v>
      </c>
      <c r="B18" s="45">
        <v>0</v>
      </c>
      <c r="C18" s="45">
        <v>614.86945679999894</v>
      </c>
      <c r="D18" s="45">
        <v>0</v>
      </c>
      <c r="E18" s="45">
        <v>716.30054977438169</v>
      </c>
      <c r="F18" s="45">
        <v>614.86945679999894</v>
      </c>
      <c r="G18" s="45">
        <v>716.30054977438169</v>
      </c>
    </row>
    <row r="19" spans="1:7" ht="11.25" customHeight="1" x14ac:dyDescent="0.2">
      <c r="A19" s="55">
        <v>44713</v>
      </c>
      <c r="B19" s="45">
        <v>0</v>
      </c>
      <c r="C19" s="45">
        <v>668.6154060000008</v>
      </c>
      <c r="D19" s="45">
        <v>0</v>
      </c>
      <c r="E19" s="45">
        <v>778.9126254505195</v>
      </c>
      <c r="F19" s="45">
        <v>668.6154060000008</v>
      </c>
      <c r="G19" s="45">
        <v>778.9126254505195</v>
      </c>
    </row>
    <row r="20" spans="1:7" ht="11.25" customHeight="1" x14ac:dyDescent="0.2">
      <c r="A20" s="55">
        <v>44743</v>
      </c>
      <c r="B20" s="45">
        <v>0</v>
      </c>
      <c r="C20" s="45">
        <v>635.57135640000058</v>
      </c>
      <c r="D20" s="45">
        <v>0</v>
      </c>
      <c r="E20" s="45">
        <v>740.41750972557122</v>
      </c>
      <c r="F20" s="45">
        <v>635.57135640000058</v>
      </c>
      <c r="G20" s="45">
        <v>740.41750972557122</v>
      </c>
    </row>
    <row r="21" spans="1:7" ht="11.25" customHeight="1" x14ac:dyDescent="0.2">
      <c r="A21" s="55">
        <v>44774</v>
      </c>
      <c r="B21" s="45">
        <v>0</v>
      </c>
      <c r="C21" s="45">
        <v>635.57135640000058</v>
      </c>
      <c r="D21" s="45">
        <v>0</v>
      </c>
      <c r="E21" s="45">
        <v>740.41750972557122</v>
      </c>
      <c r="F21" s="45">
        <v>635.57135640000058</v>
      </c>
      <c r="G21" s="45">
        <v>740.41750972557122</v>
      </c>
    </row>
    <row r="22" spans="1:7" ht="11.25" customHeight="1" x14ac:dyDescent="0.2">
      <c r="A22" s="47" t="s">
        <v>624</v>
      </c>
      <c r="B22" s="45">
        <v>0</v>
      </c>
      <c r="C22" s="45">
        <v>62529.707669999989</v>
      </c>
      <c r="D22" s="45">
        <v>0</v>
      </c>
      <c r="E22" s="45">
        <v>69958.157225426927</v>
      </c>
      <c r="F22" s="45">
        <v>62529.707669999989</v>
      </c>
      <c r="G22" s="45">
        <v>69958.157225426927</v>
      </c>
    </row>
    <row r="23" spans="1:7" ht="11.25" customHeight="1" x14ac:dyDescent="0.2">
      <c r="A23" s="48" t="s">
        <v>22</v>
      </c>
      <c r="B23" s="45">
        <v>0</v>
      </c>
      <c r="C23" s="45">
        <v>62529.707669999989</v>
      </c>
      <c r="D23" s="45">
        <v>0</v>
      </c>
      <c r="E23" s="45">
        <v>69958.157225426927</v>
      </c>
      <c r="F23" s="45">
        <v>62529.707669999989</v>
      </c>
      <c r="G23" s="45">
        <v>69958.157225426927</v>
      </c>
    </row>
    <row r="24" spans="1:7" ht="11.25" customHeight="1" x14ac:dyDescent="0.2">
      <c r="A24" s="49" t="s">
        <v>23</v>
      </c>
      <c r="B24" s="45">
        <v>0</v>
      </c>
      <c r="C24" s="45">
        <v>62529.707669999989</v>
      </c>
      <c r="D24" s="45">
        <v>0</v>
      </c>
      <c r="E24" s="45">
        <v>69958.157225426927</v>
      </c>
      <c r="F24" s="45">
        <v>62529.707669999989</v>
      </c>
      <c r="G24" s="45">
        <v>69958.157225426927</v>
      </c>
    </row>
    <row r="25" spans="1:7" ht="11.25" customHeight="1" x14ac:dyDescent="0.2">
      <c r="A25" s="50" t="s">
        <v>24</v>
      </c>
      <c r="B25" s="45">
        <v>0</v>
      </c>
      <c r="C25" s="45">
        <v>62529.707669999989</v>
      </c>
      <c r="D25" s="45">
        <v>0</v>
      </c>
      <c r="E25" s="45">
        <v>69958.157225426927</v>
      </c>
      <c r="F25" s="45">
        <v>62529.707669999989</v>
      </c>
      <c r="G25" s="45">
        <v>69958.157225426927</v>
      </c>
    </row>
    <row r="26" spans="1:7" ht="11.25" customHeight="1" x14ac:dyDescent="0.2">
      <c r="A26" s="51" t="s">
        <v>29</v>
      </c>
      <c r="B26" s="45">
        <v>0</v>
      </c>
      <c r="C26" s="45">
        <v>24573.13508</v>
      </c>
      <c r="D26" s="45">
        <v>0</v>
      </c>
      <c r="E26" s="45">
        <v>27493.051452078067</v>
      </c>
      <c r="F26" s="45">
        <v>24573.13508</v>
      </c>
      <c r="G26" s="45">
        <v>27493.051452078067</v>
      </c>
    </row>
    <row r="27" spans="1:7" ht="11.25" customHeight="1" x14ac:dyDescent="0.2">
      <c r="A27" s="52" t="s">
        <v>25</v>
      </c>
      <c r="B27" s="45">
        <v>0</v>
      </c>
      <c r="C27" s="45">
        <v>24573.13508</v>
      </c>
      <c r="D27" s="45">
        <v>0</v>
      </c>
      <c r="E27" s="45">
        <v>27493.051452078067</v>
      </c>
      <c r="F27" s="45">
        <v>24573.13508</v>
      </c>
      <c r="G27" s="45">
        <v>27493.051452078067</v>
      </c>
    </row>
    <row r="28" spans="1:7" ht="11.25" customHeight="1" x14ac:dyDescent="0.2">
      <c r="A28" s="53" t="s">
        <v>25</v>
      </c>
      <c r="B28" s="45">
        <v>0</v>
      </c>
      <c r="C28" s="45">
        <v>24573.13508</v>
      </c>
      <c r="D28" s="45">
        <v>0</v>
      </c>
      <c r="E28" s="45">
        <v>27493.051452078067</v>
      </c>
      <c r="F28" s="45">
        <v>24573.13508</v>
      </c>
      <c r="G28" s="45">
        <v>27493.051452078067</v>
      </c>
    </row>
    <row r="29" spans="1:7" ht="11.25" customHeight="1" x14ac:dyDescent="0.2">
      <c r="A29" s="54" t="s">
        <v>25</v>
      </c>
      <c r="B29" s="45">
        <v>0</v>
      </c>
      <c r="C29" s="45">
        <v>24573.13508</v>
      </c>
      <c r="D29" s="45">
        <v>0</v>
      </c>
      <c r="E29" s="45">
        <v>27493.051452078067</v>
      </c>
      <c r="F29" s="45">
        <v>24573.13508</v>
      </c>
      <c r="G29" s="45">
        <v>27493.051452078067</v>
      </c>
    </row>
    <row r="30" spans="1:7" ht="11.25" customHeight="1" x14ac:dyDescent="0.2">
      <c r="A30" s="55">
        <v>44440</v>
      </c>
      <c r="B30" s="45">
        <v>0</v>
      </c>
      <c r="C30" s="45">
        <v>1556.3496</v>
      </c>
      <c r="D30" s="45">
        <v>0</v>
      </c>
      <c r="E30" s="45">
        <v>1741.2837023407239</v>
      </c>
      <c r="F30" s="45">
        <v>1556.3496</v>
      </c>
      <c r="G30" s="45">
        <v>1741.2837023407239</v>
      </c>
    </row>
    <row r="31" spans="1:7" ht="11.25" customHeight="1" x14ac:dyDescent="0.2">
      <c r="A31" s="55">
        <v>44470</v>
      </c>
      <c r="B31" s="45">
        <v>0</v>
      </c>
      <c r="C31" s="45">
        <v>1612.6032</v>
      </c>
      <c r="D31" s="45">
        <v>0</v>
      </c>
      <c r="E31" s="45">
        <v>1804.2216674855692</v>
      </c>
      <c r="F31" s="45">
        <v>1612.6032</v>
      </c>
      <c r="G31" s="45">
        <v>1804.2216674855692</v>
      </c>
    </row>
    <row r="32" spans="1:7" ht="11.25" customHeight="1" x14ac:dyDescent="0.2">
      <c r="A32" s="55">
        <v>44501</v>
      </c>
      <c r="B32" s="45">
        <v>0</v>
      </c>
      <c r="C32" s="45">
        <v>1668.8567999999998</v>
      </c>
      <c r="D32" s="45">
        <v>0</v>
      </c>
      <c r="E32" s="45">
        <v>1867.1596326304145</v>
      </c>
      <c r="F32" s="45">
        <v>1668.8567999999998</v>
      </c>
      <c r="G32" s="45">
        <v>1867.1596326304145</v>
      </c>
    </row>
    <row r="33" spans="1:7" ht="11.25" customHeight="1" x14ac:dyDescent="0.2">
      <c r="A33" s="55">
        <v>44531</v>
      </c>
      <c r="B33" s="45">
        <v>0</v>
      </c>
      <c r="C33" s="45">
        <v>1678.2323999999999</v>
      </c>
      <c r="D33" s="45">
        <v>0</v>
      </c>
      <c r="E33" s="45">
        <v>1877.6492934878888</v>
      </c>
      <c r="F33" s="45">
        <v>1678.2323999999999</v>
      </c>
      <c r="G33" s="45">
        <v>1877.6492934878888</v>
      </c>
    </row>
    <row r="34" spans="1:7" ht="11.25" customHeight="1" x14ac:dyDescent="0.2">
      <c r="A34" s="55">
        <v>44562</v>
      </c>
      <c r="B34" s="45">
        <v>0</v>
      </c>
      <c r="C34" s="45">
        <v>1725.1103999999998</v>
      </c>
      <c r="D34" s="45">
        <v>0</v>
      </c>
      <c r="E34" s="45">
        <v>1930.0975977752598</v>
      </c>
      <c r="F34" s="45">
        <v>1725.1103999999998</v>
      </c>
      <c r="G34" s="45">
        <v>1930.0975977752598</v>
      </c>
    </row>
    <row r="35" spans="1:7" ht="11.25" customHeight="1" x14ac:dyDescent="0.2">
      <c r="A35" s="55">
        <v>44593</v>
      </c>
      <c r="B35" s="45">
        <v>0</v>
      </c>
      <c r="C35" s="45">
        <v>1800.1151999999997</v>
      </c>
      <c r="D35" s="45">
        <v>0</v>
      </c>
      <c r="E35" s="45">
        <v>2014.0148846350539</v>
      </c>
      <c r="F35" s="45">
        <v>1800.1151999999997</v>
      </c>
      <c r="G35" s="45">
        <v>2014.0148846350539</v>
      </c>
    </row>
    <row r="36" spans="1:7" ht="11.25" customHeight="1" x14ac:dyDescent="0.2">
      <c r="A36" s="55">
        <v>44621</v>
      </c>
      <c r="B36" s="45">
        <v>0</v>
      </c>
      <c r="C36" s="45">
        <v>2250.1439999999998</v>
      </c>
      <c r="D36" s="45">
        <v>0</v>
      </c>
      <c r="E36" s="45">
        <v>2517.5186057938176</v>
      </c>
      <c r="F36" s="45">
        <v>2250.1439999999998</v>
      </c>
      <c r="G36" s="45">
        <v>2517.5186057938176</v>
      </c>
    </row>
    <row r="37" spans="1:7" ht="11.25" customHeight="1" x14ac:dyDescent="0.2">
      <c r="A37" s="55">
        <v>44652</v>
      </c>
      <c r="B37" s="45">
        <v>0</v>
      </c>
      <c r="C37" s="45">
        <v>2343.8999999999996</v>
      </c>
      <c r="D37" s="45">
        <v>0</v>
      </c>
      <c r="E37" s="45">
        <v>2622.4152143685601</v>
      </c>
      <c r="F37" s="45">
        <v>2343.8999999999996</v>
      </c>
      <c r="G37" s="45">
        <v>2622.4152143685601</v>
      </c>
    </row>
    <row r="38" spans="1:7" ht="11.25" customHeight="1" x14ac:dyDescent="0.2">
      <c r="A38" s="55">
        <v>44682</v>
      </c>
      <c r="B38" s="45">
        <v>0</v>
      </c>
      <c r="C38" s="45">
        <v>2587.6655999999998</v>
      </c>
      <c r="D38" s="45">
        <v>0</v>
      </c>
      <c r="E38" s="45">
        <v>2895.1463966628899</v>
      </c>
      <c r="F38" s="45">
        <v>2587.6655999999998</v>
      </c>
      <c r="G38" s="45">
        <v>2895.1463966628899</v>
      </c>
    </row>
    <row r="39" spans="1:7" ht="11.25" customHeight="1" x14ac:dyDescent="0.2">
      <c r="A39" s="55">
        <v>44713</v>
      </c>
      <c r="B39" s="45">
        <v>0</v>
      </c>
      <c r="C39" s="45">
        <v>2437.34348</v>
      </c>
      <c r="D39" s="45">
        <v>0</v>
      </c>
      <c r="E39" s="45">
        <v>2726.9621675813864</v>
      </c>
      <c r="F39" s="45">
        <v>2437.34348</v>
      </c>
      <c r="G39" s="45">
        <v>2726.9621675813864</v>
      </c>
    </row>
    <row r="40" spans="1:7" ht="11.25" customHeight="1" x14ac:dyDescent="0.2">
      <c r="A40" s="55">
        <v>44743</v>
      </c>
      <c r="B40" s="45">
        <v>0</v>
      </c>
      <c r="C40" s="45">
        <v>2456.4072000000001</v>
      </c>
      <c r="D40" s="45">
        <v>0</v>
      </c>
      <c r="E40" s="45">
        <v>2748.2911446582507</v>
      </c>
      <c r="F40" s="45">
        <v>2456.4072000000001</v>
      </c>
      <c r="G40" s="45">
        <v>2748.2911446582507</v>
      </c>
    </row>
    <row r="41" spans="1:7" ht="11.25" customHeight="1" x14ac:dyDescent="0.2">
      <c r="A41" s="55">
        <v>44774</v>
      </c>
      <c r="B41" s="45">
        <v>0</v>
      </c>
      <c r="C41" s="45">
        <v>2456.4072000000001</v>
      </c>
      <c r="D41" s="45">
        <v>0</v>
      </c>
      <c r="E41" s="45">
        <v>2748.2911446582507</v>
      </c>
      <c r="F41" s="45">
        <v>2456.4072000000001</v>
      </c>
      <c r="G41" s="45">
        <v>2748.2911446582507</v>
      </c>
    </row>
    <row r="42" spans="1:7" ht="11.25" customHeight="1" x14ac:dyDescent="0.2">
      <c r="A42" s="51" t="s">
        <v>30</v>
      </c>
      <c r="B42" s="45">
        <v>0</v>
      </c>
      <c r="C42" s="45">
        <v>30746.006079999996</v>
      </c>
      <c r="D42" s="45">
        <v>0</v>
      </c>
      <c r="E42" s="45">
        <v>34399.417264072799</v>
      </c>
      <c r="F42" s="45">
        <v>30746.006079999996</v>
      </c>
      <c r="G42" s="45">
        <v>34399.417264072799</v>
      </c>
    </row>
    <row r="43" spans="1:7" ht="11.25" customHeight="1" x14ac:dyDescent="0.2">
      <c r="A43" s="52" t="s">
        <v>25</v>
      </c>
      <c r="B43" s="45">
        <v>0</v>
      </c>
      <c r="C43" s="45">
        <v>30746.006079999996</v>
      </c>
      <c r="D43" s="45">
        <v>0</v>
      </c>
      <c r="E43" s="45">
        <v>34399.417264072799</v>
      </c>
      <c r="F43" s="45">
        <v>30746.006079999996</v>
      </c>
      <c r="G43" s="45">
        <v>34399.417264072799</v>
      </c>
    </row>
    <row r="44" spans="1:7" ht="11.25" customHeight="1" x14ac:dyDescent="0.2">
      <c r="A44" s="53" t="s">
        <v>25</v>
      </c>
      <c r="B44" s="45">
        <v>0</v>
      </c>
      <c r="C44" s="45">
        <v>30746.006079999996</v>
      </c>
      <c r="D44" s="45">
        <v>0</v>
      </c>
      <c r="E44" s="45">
        <v>34399.417264072799</v>
      </c>
      <c r="F44" s="45">
        <v>30746.006079999996</v>
      </c>
      <c r="G44" s="45">
        <v>34399.417264072799</v>
      </c>
    </row>
    <row r="45" spans="1:7" ht="11.25" customHeight="1" x14ac:dyDescent="0.2">
      <c r="A45" s="54" t="s">
        <v>25</v>
      </c>
      <c r="B45" s="45">
        <v>0</v>
      </c>
      <c r="C45" s="45">
        <v>30746.006079999996</v>
      </c>
      <c r="D45" s="45">
        <v>0</v>
      </c>
      <c r="E45" s="45">
        <v>34399.417264072799</v>
      </c>
      <c r="F45" s="45">
        <v>30746.006079999996</v>
      </c>
      <c r="G45" s="45">
        <v>34399.417264072799</v>
      </c>
    </row>
    <row r="46" spans="1:7" ht="11.25" customHeight="1" x14ac:dyDescent="0.2">
      <c r="A46" s="55">
        <v>44440</v>
      </c>
      <c r="B46" s="45">
        <v>0</v>
      </c>
      <c r="C46" s="45">
        <v>1922.6230399999997</v>
      </c>
      <c r="D46" s="45">
        <v>0</v>
      </c>
      <c r="E46" s="45">
        <v>2151.0797865060499</v>
      </c>
      <c r="F46" s="45">
        <v>1922.6230399999997</v>
      </c>
      <c r="G46" s="45">
        <v>2151.0797865060499</v>
      </c>
    </row>
    <row r="47" spans="1:7" ht="11.25" customHeight="1" x14ac:dyDescent="0.2">
      <c r="A47" s="55">
        <v>44470</v>
      </c>
      <c r="B47" s="45">
        <v>0</v>
      </c>
      <c r="C47" s="45">
        <v>2046.2847999999997</v>
      </c>
      <c r="D47" s="45">
        <v>0</v>
      </c>
      <c r="E47" s="45">
        <v>2289.4357235595053</v>
      </c>
      <c r="F47" s="45">
        <v>2046.2847999999997</v>
      </c>
      <c r="G47" s="45">
        <v>2289.4357235595053</v>
      </c>
    </row>
    <row r="48" spans="1:7" ht="11.25" customHeight="1" x14ac:dyDescent="0.2">
      <c r="A48" s="55">
        <v>44501</v>
      </c>
      <c r="B48" s="45">
        <v>0</v>
      </c>
      <c r="C48" s="45">
        <v>2095.1340799999998</v>
      </c>
      <c r="D48" s="45">
        <v>0</v>
      </c>
      <c r="E48" s="45">
        <v>2344.0895462835761</v>
      </c>
      <c r="F48" s="45">
        <v>2095.1340799999998</v>
      </c>
      <c r="G48" s="45">
        <v>2344.0895462835761</v>
      </c>
    </row>
    <row r="49" spans="1:7" ht="11.25" customHeight="1" x14ac:dyDescent="0.2">
      <c r="A49" s="55">
        <v>44531</v>
      </c>
      <c r="B49" s="45">
        <v>0</v>
      </c>
      <c r="C49" s="45">
        <v>2120.5203199999996</v>
      </c>
      <c r="D49" s="45">
        <v>0</v>
      </c>
      <c r="E49" s="45">
        <v>2372.4923202976602</v>
      </c>
      <c r="F49" s="45">
        <v>2120.5203199999996</v>
      </c>
      <c r="G49" s="45">
        <v>2372.4923202976602</v>
      </c>
    </row>
    <row r="50" spans="1:7" ht="11.25" customHeight="1" x14ac:dyDescent="0.2">
      <c r="A50" s="55">
        <v>44562</v>
      </c>
      <c r="B50" s="45">
        <v>0</v>
      </c>
      <c r="C50" s="45">
        <v>2244.1820799999996</v>
      </c>
      <c r="D50" s="45">
        <v>0</v>
      </c>
      <c r="E50" s="45">
        <v>2510.8482573511151</v>
      </c>
      <c r="F50" s="45">
        <v>2244.1820799999996</v>
      </c>
      <c r="G50" s="45">
        <v>2510.8482573511151</v>
      </c>
    </row>
    <row r="51" spans="1:7" ht="11.25" customHeight="1" x14ac:dyDescent="0.2">
      <c r="A51" s="55">
        <v>44593</v>
      </c>
      <c r="B51" s="45">
        <v>0</v>
      </c>
      <c r="C51" s="45">
        <v>2358.4201599999997</v>
      </c>
      <c r="D51" s="45">
        <v>0</v>
      </c>
      <c r="E51" s="45">
        <v>2638.6607404144934</v>
      </c>
      <c r="F51" s="45">
        <v>2358.4201599999997</v>
      </c>
      <c r="G51" s="45">
        <v>2638.6607404144934</v>
      </c>
    </row>
    <row r="52" spans="1:7" ht="11.25" customHeight="1" x14ac:dyDescent="0.2">
      <c r="A52" s="55">
        <v>44621</v>
      </c>
      <c r="B52" s="45">
        <v>0</v>
      </c>
      <c r="C52" s="45">
        <v>2824.9884799999995</v>
      </c>
      <c r="D52" s="45">
        <v>0</v>
      </c>
      <c r="E52" s="45">
        <v>3160.6692991884938</v>
      </c>
      <c r="F52" s="45">
        <v>2824.9884799999995</v>
      </c>
      <c r="G52" s="45">
        <v>3160.6692991884938</v>
      </c>
    </row>
    <row r="53" spans="1:7" ht="11.25" customHeight="1" x14ac:dyDescent="0.2">
      <c r="A53" s="55">
        <v>44652</v>
      </c>
      <c r="B53" s="45">
        <v>0</v>
      </c>
      <c r="C53" s="45">
        <v>2968.4591999999993</v>
      </c>
      <c r="D53" s="45">
        <v>0</v>
      </c>
      <c r="E53" s="45">
        <v>3321.1880068741507</v>
      </c>
      <c r="F53" s="45">
        <v>2968.4591999999993</v>
      </c>
      <c r="G53" s="45">
        <v>3321.1880068741507</v>
      </c>
    </row>
    <row r="54" spans="1:7" ht="11.25" customHeight="1" x14ac:dyDescent="0.2">
      <c r="A54" s="55">
        <v>44682</v>
      </c>
      <c r="B54" s="45">
        <v>0</v>
      </c>
      <c r="C54" s="45">
        <v>3151.7401599999998</v>
      </c>
      <c r="D54" s="45">
        <v>0</v>
      </c>
      <c r="E54" s="45">
        <v>3526.2474283546217</v>
      </c>
      <c r="F54" s="45">
        <v>3151.7401599999998</v>
      </c>
      <c r="G54" s="45">
        <v>3526.2474283546217</v>
      </c>
    </row>
    <row r="55" spans="1:7" ht="11.25" customHeight="1" x14ac:dyDescent="0.2">
      <c r="A55" s="55">
        <v>44713</v>
      </c>
      <c r="B55" s="45">
        <v>0</v>
      </c>
      <c r="C55" s="45">
        <v>2973.2671999999998</v>
      </c>
      <c r="D55" s="45">
        <v>0</v>
      </c>
      <c r="E55" s="45">
        <v>3326.5673201343939</v>
      </c>
      <c r="F55" s="45">
        <v>2973.2671999999998</v>
      </c>
      <c r="G55" s="45">
        <v>3326.5673201343939</v>
      </c>
    </row>
    <row r="56" spans="1:7" ht="11.25" customHeight="1" x14ac:dyDescent="0.2">
      <c r="A56" s="55">
        <v>44743</v>
      </c>
      <c r="B56" s="45">
        <v>0</v>
      </c>
      <c r="C56" s="45">
        <v>3020.1932799999995</v>
      </c>
      <c r="D56" s="45">
        <v>0</v>
      </c>
      <c r="E56" s="45">
        <v>3379.0694175543676</v>
      </c>
      <c r="F56" s="45">
        <v>3020.1932799999995</v>
      </c>
      <c r="G56" s="45">
        <v>3379.0694175543676</v>
      </c>
    </row>
    <row r="57" spans="1:7" ht="11.25" customHeight="1" x14ac:dyDescent="0.2">
      <c r="A57" s="55">
        <v>44774</v>
      </c>
      <c r="B57" s="45">
        <v>0</v>
      </c>
      <c r="C57" s="45">
        <v>3020.1932799999995</v>
      </c>
      <c r="D57" s="45">
        <v>0</v>
      </c>
      <c r="E57" s="45">
        <v>3379.0694175543676</v>
      </c>
      <c r="F57" s="45">
        <v>3020.1932799999995</v>
      </c>
      <c r="G57" s="45">
        <v>3379.0694175543676</v>
      </c>
    </row>
    <row r="58" spans="1:7" ht="11.25" customHeight="1" x14ac:dyDescent="0.2">
      <c r="A58" s="51" t="s">
        <v>31</v>
      </c>
      <c r="B58" s="45">
        <v>0</v>
      </c>
      <c r="C58" s="45">
        <v>7210.5665099999869</v>
      </c>
      <c r="D58" s="45">
        <v>0</v>
      </c>
      <c r="E58" s="45">
        <v>8065.6885092760467</v>
      </c>
      <c r="F58" s="45">
        <v>7210.5665099999869</v>
      </c>
      <c r="G58" s="45">
        <v>8065.6885092760467</v>
      </c>
    </row>
    <row r="59" spans="1:7" ht="11.25" customHeight="1" x14ac:dyDescent="0.2">
      <c r="A59" s="52" t="s">
        <v>25</v>
      </c>
      <c r="B59" s="45">
        <v>0</v>
      </c>
      <c r="C59" s="45">
        <v>7210.5665099999869</v>
      </c>
      <c r="D59" s="45">
        <v>0</v>
      </c>
      <c r="E59" s="45">
        <v>8065.6885092760467</v>
      </c>
      <c r="F59" s="45">
        <v>7210.5665099999869</v>
      </c>
      <c r="G59" s="45">
        <v>8065.6885092760467</v>
      </c>
    </row>
    <row r="60" spans="1:7" ht="11.25" customHeight="1" x14ac:dyDescent="0.2">
      <c r="A60" s="53" t="s">
        <v>25</v>
      </c>
      <c r="B60" s="45">
        <v>0</v>
      </c>
      <c r="C60" s="45">
        <v>7210.5665099999869</v>
      </c>
      <c r="D60" s="45">
        <v>0</v>
      </c>
      <c r="E60" s="45">
        <v>8065.6885092760467</v>
      </c>
      <c r="F60" s="45">
        <v>7210.5665099999869</v>
      </c>
      <c r="G60" s="45">
        <v>8065.6885092760467</v>
      </c>
    </row>
    <row r="61" spans="1:7" ht="11.25" customHeight="1" x14ac:dyDescent="0.2">
      <c r="A61" s="54" t="s">
        <v>25</v>
      </c>
      <c r="B61" s="45">
        <v>0</v>
      </c>
      <c r="C61" s="45">
        <v>7210.5665099999869</v>
      </c>
      <c r="D61" s="45">
        <v>0</v>
      </c>
      <c r="E61" s="45">
        <v>8065.6885092760467</v>
      </c>
      <c r="F61" s="45">
        <v>7210.5665099999869</v>
      </c>
      <c r="G61" s="45">
        <v>8065.6885092760467</v>
      </c>
    </row>
    <row r="62" spans="1:7" ht="11.25" customHeight="1" x14ac:dyDescent="0.2">
      <c r="A62" s="55">
        <v>44440</v>
      </c>
      <c r="B62" s="45">
        <v>0</v>
      </c>
      <c r="C62" s="45">
        <v>405.59105999999929</v>
      </c>
      <c r="D62" s="45">
        <v>0</v>
      </c>
      <c r="E62" s="45">
        <v>453.69128036891118</v>
      </c>
      <c r="F62" s="45">
        <v>405.59105999999929</v>
      </c>
      <c r="G62" s="45">
        <v>453.69128036891118</v>
      </c>
    </row>
    <row r="63" spans="1:7" ht="11.25" customHeight="1" x14ac:dyDescent="0.2">
      <c r="A63" s="55">
        <v>44470</v>
      </c>
      <c r="B63" s="45">
        <v>0</v>
      </c>
      <c r="C63" s="45">
        <v>473.30177999999921</v>
      </c>
      <c r="D63" s="45">
        <v>0</v>
      </c>
      <c r="E63" s="45">
        <v>529.43201107313541</v>
      </c>
      <c r="F63" s="45">
        <v>473.30177999999921</v>
      </c>
      <c r="G63" s="45">
        <v>529.43201107313541</v>
      </c>
    </row>
    <row r="64" spans="1:7" ht="11.25" customHeight="1" x14ac:dyDescent="0.2">
      <c r="A64" s="55">
        <v>44501</v>
      </c>
      <c r="B64" s="45">
        <v>0</v>
      </c>
      <c r="C64" s="45">
        <v>469.88738999999924</v>
      </c>
      <c r="D64" s="45">
        <v>0</v>
      </c>
      <c r="E64" s="45">
        <v>525.61269865836277</v>
      </c>
      <c r="F64" s="45">
        <v>469.88738999999924</v>
      </c>
      <c r="G64" s="45">
        <v>525.61269865836277</v>
      </c>
    </row>
    <row r="65" spans="1:7" ht="11.25" customHeight="1" x14ac:dyDescent="0.2">
      <c r="A65" s="55">
        <v>44531</v>
      </c>
      <c r="B65" s="45">
        <v>0</v>
      </c>
      <c r="C65" s="45">
        <v>490.56608999999918</v>
      </c>
      <c r="D65" s="45">
        <v>0</v>
      </c>
      <c r="E65" s="45">
        <v>548.74374567740858</v>
      </c>
      <c r="F65" s="45">
        <v>490.56608999999918</v>
      </c>
      <c r="G65" s="45">
        <v>548.74374567740858</v>
      </c>
    </row>
    <row r="66" spans="1:7" ht="11.25" customHeight="1" x14ac:dyDescent="0.2">
      <c r="A66" s="55">
        <v>44562</v>
      </c>
      <c r="B66" s="45">
        <v>0</v>
      </c>
      <c r="C66" s="45">
        <v>553.70825999999897</v>
      </c>
      <c r="D66" s="45">
        <v>0</v>
      </c>
      <c r="E66" s="45">
        <v>619.37412878440159</v>
      </c>
      <c r="F66" s="45">
        <v>553.70825999999897</v>
      </c>
      <c r="G66" s="45">
        <v>619.37412878440159</v>
      </c>
    </row>
    <row r="67" spans="1:7" ht="11.25" customHeight="1" x14ac:dyDescent="0.2">
      <c r="A67" s="55">
        <v>44593</v>
      </c>
      <c r="B67" s="45">
        <v>0</v>
      </c>
      <c r="C67" s="45">
        <v>687.15800999999885</v>
      </c>
      <c r="D67" s="45">
        <v>0</v>
      </c>
      <c r="E67" s="45">
        <v>768.6500717561504</v>
      </c>
      <c r="F67" s="45">
        <v>687.15800999999885</v>
      </c>
      <c r="G67" s="45">
        <v>768.6500717561504</v>
      </c>
    </row>
    <row r="68" spans="1:7" ht="11.25" customHeight="1" x14ac:dyDescent="0.2">
      <c r="A68" s="55">
        <v>44621</v>
      </c>
      <c r="B68" s="45">
        <v>0</v>
      </c>
      <c r="C68" s="45">
        <v>676.86674999999889</v>
      </c>
      <c r="D68" s="45">
        <v>0</v>
      </c>
      <c r="E68" s="45">
        <v>757.13834137923004</v>
      </c>
      <c r="F68" s="45">
        <v>676.86674999999889</v>
      </c>
      <c r="G68" s="45">
        <v>757.13834137923004</v>
      </c>
    </row>
    <row r="69" spans="1:7" ht="11.25" customHeight="1" x14ac:dyDescent="0.2">
      <c r="A69" s="55">
        <v>44652</v>
      </c>
      <c r="B69" s="45">
        <v>0</v>
      </c>
      <c r="C69" s="45">
        <v>696.72791999999879</v>
      </c>
      <c r="D69" s="45">
        <v>0</v>
      </c>
      <c r="E69" s="45">
        <v>779.35490514403432</v>
      </c>
      <c r="F69" s="45">
        <v>696.72791999999879</v>
      </c>
      <c r="G69" s="45">
        <v>779.35490514403432</v>
      </c>
    </row>
    <row r="70" spans="1:7" ht="11.25" customHeight="1" x14ac:dyDescent="0.2">
      <c r="A70" s="55">
        <v>44682</v>
      </c>
      <c r="B70" s="45">
        <v>0</v>
      </c>
      <c r="C70" s="45">
        <v>619.39919999999893</v>
      </c>
      <c r="D70" s="45">
        <v>0</v>
      </c>
      <c r="E70" s="45">
        <v>692.85554791932373</v>
      </c>
      <c r="F70" s="45">
        <v>619.39919999999893</v>
      </c>
      <c r="G70" s="45">
        <v>692.85554791932373</v>
      </c>
    </row>
    <row r="71" spans="1:7" ht="11.25" customHeight="1" x14ac:dyDescent="0.2">
      <c r="A71" s="55">
        <v>44713</v>
      </c>
      <c r="B71" s="45">
        <v>0</v>
      </c>
      <c r="C71" s="45">
        <v>702.6429899999988</v>
      </c>
      <c r="D71" s="45">
        <v>0</v>
      </c>
      <c r="E71" s="45">
        <v>785.97146045413353</v>
      </c>
      <c r="F71" s="45">
        <v>702.6429899999988</v>
      </c>
      <c r="G71" s="45">
        <v>785.97146045413353</v>
      </c>
    </row>
    <row r="72" spans="1:7" ht="11.25" customHeight="1" x14ac:dyDescent="0.2">
      <c r="A72" s="55">
        <v>44743</v>
      </c>
      <c r="B72" s="45">
        <v>0</v>
      </c>
      <c r="C72" s="45">
        <v>717.35852999999872</v>
      </c>
      <c r="D72" s="45">
        <v>0</v>
      </c>
      <c r="E72" s="45">
        <v>802.43215903047769</v>
      </c>
      <c r="F72" s="45">
        <v>717.35852999999872</v>
      </c>
      <c r="G72" s="45">
        <v>802.43215903047769</v>
      </c>
    </row>
    <row r="73" spans="1:7" ht="11.25" customHeight="1" x14ac:dyDescent="0.2">
      <c r="A73" s="55">
        <v>44774</v>
      </c>
      <c r="B73" s="45">
        <v>0</v>
      </c>
      <c r="C73" s="45">
        <v>717.35852999999872</v>
      </c>
      <c r="D73" s="45">
        <v>0</v>
      </c>
      <c r="E73" s="45">
        <v>802.43215903047769</v>
      </c>
      <c r="F73" s="45">
        <v>717.35852999999872</v>
      </c>
      <c r="G73" s="45">
        <v>802.43215903047769</v>
      </c>
    </row>
    <row r="74" spans="1:7" ht="11.25" customHeight="1" x14ac:dyDescent="0.2">
      <c r="A74" s="51" t="s">
        <v>32</v>
      </c>
      <c r="B74" s="45">
        <v>0</v>
      </c>
      <c r="C74" s="45">
        <v>-1.4304362139228033E-12</v>
      </c>
      <c r="D74" s="45">
        <v>0</v>
      </c>
      <c r="E74" s="45">
        <v>-1.4304362139228033E-12</v>
      </c>
      <c r="F74" s="45">
        <v>-1.4304362139228033E-12</v>
      </c>
      <c r="G74" s="45">
        <v>-1.4304362139228033E-12</v>
      </c>
    </row>
    <row r="75" spans="1:7" ht="11.25" customHeight="1" x14ac:dyDescent="0.2">
      <c r="A75" s="52" t="s">
        <v>25</v>
      </c>
      <c r="B75" s="45">
        <v>0</v>
      </c>
      <c r="C75" s="45">
        <v>-1.4304362139228033E-12</v>
      </c>
      <c r="D75" s="45">
        <v>0</v>
      </c>
      <c r="E75" s="45">
        <v>-1.4304362139228033E-12</v>
      </c>
      <c r="F75" s="45">
        <v>-1.4304362139228033E-12</v>
      </c>
      <c r="G75" s="45">
        <v>-1.4304362139228033E-12</v>
      </c>
    </row>
    <row r="76" spans="1:7" ht="11.25" customHeight="1" x14ac:dyDescent="0.2">
      <c r="A76" s="53" t="s">
        <v>25</v>
      </c>
      <c r="B76" s="45">
        <v>0</v>
      </c>
      <c r="C76" s="45">
        <v>-1.4304362139228033E-12</v>
      </c>
      <c r="D76" s="45">
        <v>0</v>
      </c>
      <c r="E76" s="45">
        <v>-1.4304362139228033E-12</v>
      </c>
      <c r="F76" s="45">
        <v>-1.4304362139228033E-12</v>
      </c>
      <c r="G76" s="45">
        <v>-1.4304362139228033E-12</v>
      </c>
    </row>
    <row r="77" spans="1:7" ht="11.25" customHeight="1" x14ac:dyDescent="0.2">
      <c r="A77" s="54" t="s">
        <v>25</v>
      </c>
      <c r="B77" s="45">
        <v>0</v>
      </c>
      <c r="C77" s="45">
        <v>-1.4304362139228033E-12</v>
      </c>
      <c r="D77" s="45">
        <v>0</v>
      </c>
      <c r="E77" s="45">
        <v>-1.4304362139228033E-12</v>
      </c>
      <c r="F77" s="45">
        <v>-1.4304362139228033E-12</v>
      </c>
      <c r="G77" s="45">
        <v>-1.4304362139228033E-12</v>
      </c>
    </row>
    <row r="78" spans="1:7" ht="11.25" customHeight="1" x14ac:dyDescent="0.2">
      <c r="A78" s="55">
        <v>44440</v>
      </c>
      <c r="B78" s="45">
        <v>0</v>
      </c>
      <c r="C78" s="45">
        <v>-5.4257043302641251E-14</v>
      </c>
      <c r="D78" s="45">
        <v>0</v>
      </c>
      <c r="E78" s="45">
        <v>-5.4257043302641251E-14</v>
      </c>
      <c r="F78" s="45">
        <v>-5.4257043302641251E-14</v>
      </c>
      <c r="G78" s="45">
        <v>-5.4257043302641251E-14</v>
      </c>
    </row>
    <row r="79" spans="1:7" ht="11.25" customHeight="1" x14ac:dyDescent="0.2">
      <c r="A79" s="55">
        <v>44470</v>
      </c>
      <c r="B79" s="45">
        <v>0</v>
      </c>
      <c r="C79" s="45">
        <v>-9.2398977358243425E-14</v>
      </c>
      <c r="D79" s="45">
        <v>0</v>
      </c>
      <c r="E79" s="45">
        <v>-9.2398977358243425E-14</v>
      </c>
      <c r="F79" s="45">
        <v>-9.2398977358243425E-14</v>
      </c>
      <c r="G79" s="45">
        <v>-9.2398977358243425E-14</v>
      </c>
    </row>
    <row r="80" spans="1:7" ht="11.25" customHeight="1" x14ac:dyDescent="0.2">
      <c r="A80" s="55">
        <v>44501</v>
      </c>
      <c r="B80" s="45">
        <v>0</v>
      </c>
      <c r="C80" s="45">
        <v>-8.3332452049944548E-14</v>
      </c>
      <c r="D80" s="45">
        <v>0</v>
      </c>
      <c r="E80" s="45">
        <v>-8.3332452049944548E-14</v>
      </c>
      <c r="F80" s="45">
        <v>-8.3332452049944548E-14</v>
      </c>
      <c r="G80" s="45">
        <v>-8.3332452049944548E-14</v>
      </c>
    </row>
    <row r="81" spans="1:7" ht="11.25" customHeight="1" x14ac:dyDescent="0.2">
      <c r="A81" s="55">
        <v>44531</v>
      </c>
      <c r="B81" s="45">
        <v>0</v>
      </c>
      <c r="C81" s="45">
        <v>-7.4294348451076072E-14</v>
      </c>
      <c r="D81" s="45">
        <v>0</v>
      </c>
      <c r="E81" s="45">
        <v>-7.4294348451076072E-14</v>
      </c>
      <c r="F81" s="45">
        <v>-7.4294348451076072E-14</v>
      </c>
      <c r="G81" s="45">
        <v>-7.4294348451076072E-14</v>
      </c>
    </row>
    <row r="82" spans="1:7" ht="11.25" customHeight="1" x14ac:dyDescent="0.2">
      <c r="A82" s="55">
        <v>44562</v>
      </c>
      <c r="B82" s="45">
        <v>0</v>
      </c>
      <c r="C82" s="45">
        <v>-1.2116174730181228E-13</v>
      </c>
      <c r="D82" s="45">
        <v>0</v>
      </c>
      <c r="E82" s="45">
        <v>-1.2116174730181228E-13</v>
      </c>
      <c r="F82" s="45">
        <v>-1.2116174730181228E-13</v>
      </c>
      <c r="G82" s="45">
        <v>-1.2116174730181228E-13</v>
      </c>
    </row>
    <row r="83" spans="1:7" ht="11.25" customHeight="1" x14ac:dyDescent="0.2">
      <c r="A83" s="55">
        <v>44593</v>
      </c>
      <c r="B83" s="45">
        <v>0</v>
      </c>
      <c r="C83" s="45">
        <v>-2.6298607735952828E-13</v>
      </c>
      <c r="D83" s="45">
        <v>0</v>
      </c>
      <c r="E83" s="45">
        <v>-2.6298607735952828E-13</v>
      </c>
      <c r="F83" s="45">
        <v>-2.6298607735952828E-13</v>
      </c>
      <c r="G83" s="45">
        <v>-2.6298607735952828E-13</v>
      </c>
    </row>
    <row r="84" spans="1:7" ht="11.25" customHeight="1" x14ac:dyDescent="0.2">
      <c r="A84" s="55">
        <v>44621</v>
      </c>
      <c r="B84" s="45">
        <v>0</v>
      </c>
      <c r="C84" s="45">
        <v>-1.581952346896287E-13</v>
      </c>
      <c r="D84" s="45">
        <v>0</v>
      </c>
      <c r="E84" s="45">
        <v>-1.581952346896287E-13</v>
      </c>
      <c r="F84" s="45">
        <v>-1.581952346896287E-13</v>
      </c>
      <c r="G84" s="45">
        <v>-1.581952346896287E-13</v>
      </c>
    </row>
    <row r="85" spans="1:7" ht="11.25" customHeight="1" x14ac:dyDescent="0.2">
      <c r="A85" s="55">
        <v>44652</v>
      </c>
      <c r="B85" s="45">
        <v>0</v>
      </c>
      <c r="C85" s="45">
        <v>-1.2471446098061278E-13</v>
      </c>
      <c r="D85" s="45">
        <v>0</v>
      </c>
      <c r="E85" s="45">
        <v>-1.2471446098061278E-13</v>
      </c>
      <c r="F85" s="45">
        <v>-1.2471446098061278E-13</v>
      </c>
      <c r="G85" s="45">
        <v>-1.2471446098061278E-13</v>
      </c>
    </row>
    <row r="86" spans="1:7" ht="11.25" customHeight="1" x14ac:dyDescent="0.2">
      <c r="A86" s="55">
        <v>44682</v>
      </c>
      <c r="B86" s="45">
        <v>0</v>
      </c>
      <c r="C86" s="45">
        <v>-6.9292127591324975E-14</v>
      </c>
      <c r="D86" s="45">
        <v>0</v>
      </c>
      <c r="E86" s="45">
        <v>-6.9292127591324975E-14</v>
      </c>
      <c r="F86" s="45">
        <v>-6.9292127591324975E-14</v>
      </c>
      <c r="G86" s="45">
        <v>-6.9292127591324975E-14</v>
      </c>
    </row>
    <row r="87" spans="1:7" ht="11.25" customHeight="1" x14ac:dyDescent="0.2">
      <c r="A87" s="55">
        <v>44713</v>
      </c>
      <c r="B87" s="45">
        <v>0</v>
      </c>
      <c r="C87" s="45">
        <v>-1.1246470421610865E-13</v>
      </c>
      <c r="D87" s="45">
        <v>0</v>
      </c>
      <c r="E87" s="45">
        <v>-1.1246470421610865E-13</v>
      </c>
      <c r="F87" s="45">
        <v>-1.1246470421610865E-13</v>
      </c>
      <c r="G87" s="45">
        <v>-1.1246470421610865E-13</v>
      </c>
    </row>
    <row r="88" spans="1:7" ht="11.25" customHeight="1" x14ac:dyDescent="0.2">
      <c r="A88" s="55">
        <v>44743</v>
      </c>
      <c r="B88" s="45">
        <v>0</v>
      </c>
      <c r="C88" s="45">
        <v>-1.3866952031094114E-13</v>
      </c>
      <c r="D88" s="45">
        <v>0</v>
      </c>
      <c r="E88" s="45">
        <v>-1.3866952031094114E-13</v>
      </c>
      <c r="F88" s="45">
        <v>-1.3866952031094114E-13</v>
      </c>
      <c r="G88" s="45">
        <v>-1.3866952031094114E-13</v>
      </c>
    </row>
    <row r="89" spans="1:7" ht="11.25" customHeight="1" x14ac:dyDescent="0.2">
      <c r="A89" s="55">
        <v>44774</v>
      </c>
      <c r="B89" s="45">
        <v>0</v>
      </c>
      <c r="C89" s="45">
        <v>-1.3866952031094114E-13</v>
      </c>
      <c r="D89" s="45">
        <v>0</v>
      </c>
      <c r="E89" s="45">
        <v>-1.3866952031094114E-13</v>
      </c>
      <c r="F89" s="45">
        <v>-1.3866952031094114E-13</v>
      </c>
      <c r="G89" s="45">
        <v>-1.3866952031094114E-13</v>
      </c>
    </row>
    <row r="90" spans="1:7" ht="11.25" customHeight="1" x14ac:dyDescent="0.2">
      <c r="A90" s="47" t="s">
        <v>626</v>
      </c>
      <c r="B90" s="45">
        <v>0</v>
      </c>
      <c r="C90" s="45">
        <v>30247.89884400001</v>
      </c>
      <c r="D90" s="45">
        <v>0</v>
      </c>
      <c r="E90" s="45">
        <v>33932.785033463588</v>
      </c>
      <c r="F90" s="45">
        <v>30247.898844000014</v>
      </c>
      <c r="G90" s="45">
        <v>33932.78503346358</v>
      </c>
    </row>
    <row r="91" spans="1:7" ht="11.25" customHeight="1" x14ac:dyDescent="0.2">
      <c r="A91" s="48" t="s">
        <v>42</v>
      </c>
      <c r="B91" s="45">
        <v>0</v>
      </c>
      <c r="C91" s="45">
        <v>30247.89884400001</v>
      </c>
      <c r="D91" s="45">
        <v>0</v>
      </c>
      <c r="E91" s="45">
        <v>33932.785033463588</v>
      </c>
      <c r="F91" s="45">
        <v>30247.898844000014</v>
      </c>
      <c r="G91" s="45">
        <v>33932.78503346358</v>
      </c>
    </row>
    <row r="92" spans="1:7" ht="11.25" customHeight="1" x14ac:dyDescent="0.2">
      <c r="A92" s="49" t="s">
        <v>23</v>
      </c>
      <c r="B92" s="45">
        <v>0</v>
      </c>
      <c r="C92" s="45">
        <v>30247.89884400001</v>
      </c>
      <c r="D92" s="45">
        <v>0</v>
      </c>
      <c r="E92" s="45">
        <v>33932.785033463588</v>
      </c>
      <c r="F92" s="45">
        <v>30247.898844000014</v>
      </c>
      <c r="G92" s="45">
        <v>33932.78503346358</v>
      </c>
    </row>
    <row r="93" spans="1:7" ht="11.25" customHeight="1" x14ac:dyDescent="0.2">
      <c r="A93" s="50" t="s">
        <v>43</v>
      </c>
      <c r="B93" s="45">
        <v>0</v>
      </c>
      <c r="C93" s="45">
        <v>30247.89884400001</v>
      </c>
      <c r="D93" s="45">
        <v>0</v>
      </c>
      <c r="E93" s="45">
        <v>33932.785033463588</v>
      </c>
      <c r="F93" s="45">
        <v>30247.898844000014</v>
      </c>
      <c r="G93" s="45">
        <v>33932.78503346358</v>
      </c>
    </row>
    <row r="94" spans="1:7" ht="11.25" customHeight="1" x14ac:dyDescent="0.2">
      <c r="A94" s="51" t="s">
        <v>51</v>
      </c>
      <c r="B94" s="45">
        <v>0</v>
      </c>
      <c r="C94" s="45">
        <v>21943.473768000003</v>
      </c>
      <c r="D94" s="45">
        <v>0</v>
      </c>
      <c r="E94" s="45">
        <v>24616.690967435297</v>
      </c>
      <c r="F94" s="45">
        <v>21943.473768000007</v>
      </c>
      <c r="G94" s="45">
        <v>24616.690967435294</v>
      </c>
    </row>
    <row r="95" spans="1:7" ht="11.25" customHeight="1" x14ac:dyDescent="0.2">
      <c r="A95" s="52" t="s">
        <v>53</v>
      </c>
      <c r="B95" s="45">
        <v>0</v>
      </c>
      <c r="C95" s="45">
        <v>21943.473768000003</v>
      </c>
      <c r="D95" s="45">
        <v>0</v>
      </c>
      <c r="E95" s="45">
        <v>24616.690967435297</v>
      </c>
      <c r="F95" s="45">
        <v>21943.473768000007</v>
      </c>
      <c r="G95" s="45">
        <v>24616.690967435294</v>
      </c>
    </row>
    <row r="96" spans="1:7" ht="11.25" customHeight="1" x14ac:dyDescent="0.2">
      <c r="A96" s="53" t="s">
        <v>25</v>
      </c>
      <c r="B96" s="45">
        <v>0</v>
      </c>
      <c r="C96" s="45">
        <v>21943.473768000003</v>
      </c>
      <c r="D96" s="45">
        <v>0</v>
      </c>
      <c r="E96" s="45">
        <v>24616.690967435297</v>
      </c>
      <c r="F96" s="45">
        <v>21943.473768000007</v>
      </c>
      <c r="G96" s="45">
        <v>24616.690967435294</v>
      </c>
    </row>
    <row r="97" spans="1:7" ht="11.25" customHeight="1" x14ac:dyDescent="0.2">
      <c r="A97" s="54" t="s">
        <v>25</v>
      </c>
      <c r="B97" s="45">
        <v>0</v>
      </c>
      <c r="C97" s="45">
        <v>21943.473768000003</v>
      </c>
      <c r="D97" s="45">
        <v>0</v>
      </c>
      <c r="E97" s="45">
        <v>24616.690967435297</v>
      </c>
      <c r="F97" s="45">
        <v>21943.473768000007</v>
      </c>
      <c r="G97" s="45">
        <v>24616.690967435294</v>
      </c>
    </row>
    <row r="98" spans="1:7" ht="11.25" customHeight="1" x14ac:dyDescent="0.2">
      <c r="A98" s="55">
        <v>44440</v>
      </c>
      <c r="B98" s="45">
        <v>0</v>
      </c>
      <c r="C98" s="45">
        <v>2238.9921480000003</v>
      </c>
      <c r="D98" s="45">
        <v>0</v>
      </c>
      <c r="E98" s="45">
        <v>2511.7526226046416</v>
      </c>
      <c r="F98" s="45">
        <v>2238.9921480000003</v>
      </c>
      <c r="G98" s="45">
        <v>2511.7526226046416</v>
      </c>
    </row>
    <row r="99" spans="1:7" ht="11.25" customHeight="1" x14ac:dyDescent="0.2">
      <c r="A99" s="55">
        <v>44470</v>
      </c>
      <c r="B99" s="45">
        <v>0</v>
      </c>
      <c r="C99" s="45">
        <v>1507.4719319999999</v>
      </c>
      <c r="D99" s="45">
        <v>0</v>
      </c>
      <c r="E99" s="45">
        <v>1691.1165061861066</v>
      </c>
      <c r="F99" s="45">
        <v>1507.4719319999999</v>
      </c>
      <c r="G99" s="45">
        <v>1691.1165061861066</v>
      </c>
    </row>
    <row r="100" spans="1:7" ht="11.25" customHeight="1" x14ac:dyDescent="0.2">
      <c r="A100" s="55">
        <v>44501</v>
      </c>
      <c r="B100" s="45">
        <v>0</v>
      </c>
      <c r="C100" s="45">
        <v>5240.7842879999998</v>
      </c>
      <c r="D100" s="45">
        <v>0</v>
      </c>
      <c r="E100" s="45">
        <v>5879.2317300655395</v>
      </c>
      <c r="F100" s="45">
        <v>5240.7842879999998</v>
      </c>
      <c r="G100" s="45">
        <v>5879.2317300655395</v>
      </c>
    </row>
    <row r="101" spans="1:7" ht="11.25" customHeight="1" x14ac:dyDescent="0.2">
      <c r="A101" s="55">
        <v>44531</v>
      </c>
      <c r="B101" s="45">
        <v>0</v>
      </c>
      <c r="C101" s="45">
        <v>2539.7045400000002</v>
      </c>
      <c r="D101" s="45">
        <v>0</v>
      </c>
      <c r="E101" s="45">
        <v>2849.0986646309198</v>
      </c>
      <c r="F101" s="45">
        <v>2539.7045400000002</v>
      </c>
      <c r="G101" s="45">
        <v>2849.0986646309198</v>
      </c>
    </row>
    <row r="102" spans="1:7" ht="11.25" customHeight="1" x14ac:dyDescent="0.2">
      <c r="A102" s="55">
        <v>44562</v>
      </c>
      <c r="B102" s="45">
        <v>0</v>
      </c>
      <c r="C102" s="45">
        <v>5581.3073040000017</v>
      </c>
      <c r="D102" s="45">
        <v>0</v>
      </c>
      <c r="E102" s="45">
        <v>6261.2382410125556</v>
      </c>
      <c r="F102" s="45">
        <v>5581.3073040000017</v>
      </c>
      <c r="G102" s="45">
        <v>6261.2382410125556</v>
      </c>
    </row>
    <row r="103" spans="1:7" ht="11.25" customHeight="1" x14ac:dyDescent="0.2">
      <c r="A103" s="55">
        <v>44593</v>
      </c>
      <c r="B103" s="45">
        <v>0</v>
      </c>
      <c r="C103" s="45">
        <v>2838.2842199999996</v>
      </c>
      <c r="D103" s="45">
        <v>0</v>
      </c>
      <c r="E103" s="45">
        <v>3184.0521815364441</v>
      </c>
      <c r="F103" s="45">
        <v>2838.2842199999996</v>
      </c>
      <c r="G103" s="45">
        <v>3184.0521815364441</v>
      </c>
    </row>
    <row r="104" spans="1:7" ht="11.25" customHeight="1" x14ac:dyDescent="0.2">
      <c r="A104" s="55">
        <v>44621</v>
      </c>
      <c r="B104" s="45">
        <v>0</v>
      </c>
      <c r="C104" s="45">
        <v>282.93979200000001</v>
      </c>
      <c r="D104" s="45">
        <v>0</v>
      </c>
      <c r="E104" s="45">
        <v>317.40833268666375</v>
      </c>
      <c r="F104" s="45">
        <v>282.93979200000001</v>
      </c>
      <c r="G104" s="45">
        <v>317.40833268666375</v>
      </c>
    </row>
    <row r="105" spans="1:7" ht="11.25" customHeight="1" x14ac:dyDescent="0.2">
      <c r="A105" s="55">
        <v>44652</v>
      </c>
      <c r="B105" s="45">
        <v>0</v>
      </c>
      <c r="C105" s="45">
        <v>232.82105999999999</v>
      </c>
      <c r="D105" s="45">
        <v>0</v>
      </c>
      <c r="E105" s="45">
        <v>261.18399234895071</v>
      </c>
      <c r="F105" s="45">
        <v>232.82105999999999</v>
      </c>
      <c r="G105" s="45">
        <v>261.18399234895071</v>
      </c>
    </row>
    <row r="106" spans="1:7" ht="11.25" customHeight="1" x14ac:dyDescent="0.2">
      <c r="A106" s="55">
        <v>44682</v>
      </c>
      <c r="B106" s="45">
        <v>0</v>
      </c>
      <c r="C106" s="45">
        <v>190.52227199999999</v>
      </c>
      <c r="D106" s="45">
        <v>0</v>
      </c>
      <c r="E106" s="45">
        <v>213.73224412066807</v>
      </c>
      <c r="F106" s="45">
        <v>190.52227199999999</v>
      </c>
      <c r="G106" s="45">
        <v>213.73224412066807</v>
      </c>
    </row>
    <row r="107" spans="1:7" ht="11.25" customHeight="1" x14ac:dyDescent="0.2">
      <c r="A107" s="55">
        <v>44713</v>
      </c>
      <c r="B107" s="45">
        <v>0</v>
      </c>
      <c r="C107" s="45">
        <v>591.11667599999998</v>
      </c>
      <c r="D107" s="45">
        <v>0</v>
      </c>
      <c r="E107" s="45">
        <v>663.1282126355801</v>
      </c>
      <c r="F107" s="45">
        <v>591.11667599999998</v>
      </c>
      <c r="G107" s="45">
        <v>663.1282126355801</v>
      </c>
    </row>
    <row r="108" spans="1:7" ht="11.25" customHeight="1" x14ac:dyDescent="0.2">
      <c r="A108" s="55">
        <v>44743</v>
      </c>
      <c r="B108" s="45">
        <v>0</v>
      </c>
      <c r="C108" s="45">
        <v>349.764768</v>
      </c>
      <c r="D108" s="45">
        <v>0</v>
      </c>
      <c r="E108" s="45">
        <v>392.37411980361446</v>
      </c>
      <c r="F108" s="45">
        <v>349.764768</v>
      </c>
      <c r="G108" s="45">
        <v>392.37411980361446</v>
      </c>
    </row>
    <row r="109" spans="1:7" ht="11.25" customHeight="1" x14ac:dyDescent="0.2">
      <c r="A109" s="55">
        <v>44774</v>
      </c>
      <c r="B109" s="45">
        <v>0</v>
      </c>
      <c r="C109" s="45">
        <v>349.764768</v>
      </c>
      <c r="D109" s="45">
        <v>0</v>
      </c>
      <c r="E109" s="45">
        <v>392.37411980361446</v>
      </c>
      <c r="F109" s="45">
        <v>349.764768</v>
      </c>
      <c r="G109" s="45">
        <v>392.37411980361446</v>
      </c>
    </row>
    <row r="110" spans="1:7" ht="11.25" customHeight="1" x14ac:dyDescent="0.2">
      <c r="A110" s="51" t="s">
        <v>54</v>
      </c>
      <c r="B110" s="45">
        <v>0</v>
      </c>
      <c r="C110" s="45">
        <v>8304.4250759999995</v>
      </c>
      <c r="D110" s="45">
        <v>0</v>
      </c>
      <c r="E110" s="45">
        <v>9316.0940660282977</v>
      </c>
      <c r="F110" s="45">
        <v>8304.4250759999995</v>
      </c>
      <c r="G110" s="45">
        <v>9316.0940660282977</v>
      </c>
    </row>
    <row r="111" spans="1:7" ht="11.25" customHeight="1" x14ac:dyDescent="0.2">
      <c r="A111" s="52" t="s">
        <v>53</v>
      </c>
      <c r="B111" s="45">
        <v>0</v>
      </c>
      <c r="C111" s="45">
        <v>8304.4250759999995</v>
      </c>
      <c r="D111" s="45">
        <v>0</v>
      </c>
      <c r="E111" s="45">
        <v>9316.0940660282977</v>
      </c>
      <c r="F111" s="45">
        <v>8304.4250759999995</v>
      </c>
      <c r="G111" s="45">
        <v>9316.0940660282977</v>
      </c>
    </row>
    <row r="112" spans="1:7" ht="11.25" customHeight="1" x14ac:dyDescent="0.2">
      <c r="A112" s="53" t="s">
        <v>25</v>
      </c>
      <c r="B112" s="45">
        <v>0</v>
      </c>
      <c r="C112" s="45">
        <v>8304.4250759999995</v>
      </c>
      <c r="D112" s="45">
        <v>0</v>
      </c>
      <c r="E112" s="45">
        <v>9316.0940660282977</v>
      </c>
      <c r="F112" s="45">
        <v>8304.4250759999995</v>
      </c>
      <c r="G112" s="45">
        <v>9316.0940660282977</v>
      </c>
    </row>
    <row r="113" spans="1:7" ht="11.25" customHeight="1" x14ac:dyDescent="0.2">
      <c r="A113" s="54" t="s">
        <v>25</v>
      </c>
      <c r="B113" s="45">
        <v>0</v>
      </c>
      <c r="C113" s="45">
        <v>8304.4250759999995</v>
      </c>
      <c r="D113" s="45">
        <v>0</v>
      </c>
      <c r="E113" s="45">
        <v>9316.0940660282977</v>
      </c>
      <c r="F113" s="45">
        <v>8304.4250759999995</v>
      </c>
      <c r="G113" s="45">
        <v>9316.0940660282977</v>
      </c>
    </row>
    <row r="114" spans="1:7" ht="11.25" customHeight="1" x14ac:dyDescent="0.2">
      <c r="A114" s="55">
        <v>44440</v>
      </c>
      <c r="B114" s="45">
        <v>0</v>
      </c>
      <c r="C114" s="45">
        <v>346.56569999999999</v>
      </c>
      <c r="D114" s="45">
        <v>0</v>
      </c>
      <c r="E114" s="45">
        <v>388.78533212248379</v>
      </c>
      <c r="F114" s="45">
        <v>346.56569999999999</v>
      </c>
      <c r="G114" s="45">
        <v>388.78533212248379</v>
      </c>
    </row>
    <row r="115" spans="1:7" ht="11.25" customHeight="1" x14ac:dyDescent="0.2">
      <c r="A115" s="55">
        <v>44470</v>
      </c>
      <c r="B115" s="45">
        <v>0</v>
      </c>
      <c r="C115" s="45">
        <v>503.67548399999998</v>
      </c>
      <c r="D115" s="45">
        <v>0</v>
      </c>
      <c r="E115" s="45">
        <v>565.03468268467645</v>
      </c>
      <c r="F115" s="45">
        <v>503.67548399999998</v>
      </c>
      <c r="G115" s="45">
        <v>565.03468268467645</v>
      </c>
    </row>
    <row r="116" spans="1:7" ht="11.25" customHeight="1" x14ac:dyDescent="0.2">
      <c r="A116" s="55">
        <v>44501</v>
      </c>
      <c r="B116" s="45">
        <v>0</v>
      </c>
      <c r="C116" s="45">
        <v>580.0976639999999</v>
      </c>
      <c r="D116" s="45">
        <v>0</v>
      </c>
      <c r="E116" s="45">
        <v>650.76683284501905</v>
      </c>
      <c r="F116" s="45">
        <v>580.0976639999999</v>
      </c>
      <c r="G116" s="45">
        <v>650.76683284501905</v>
      </c>
    </row>
    <row r="117" spans="1:7" ht="11.25" customHeight="1" x14ac:dyDescent="0.2">
      <c r="A117" s="55">
        <v>44531</v>
      </c>
      <c r="B117" s="45">
        <v>0</v>
      </c>
      <c r="C117" s="45">
        <v>849.17482799999993</v>
      </c>
      <c r="D117" s="45">
        <v>0</v>
      </c>
      <c r="E117" s="45">
        <v>952.62375224678328</v>
      </c>
      <c r="F117" s="45">
        <v>849.17482799999993</v>
      </c>
      <c r="G117" s="45">
        <v>952.62375224678328</v>
      </c>
    </row>
    <row r="118" spans="1:7" ht="11.25" customHeight="1" x14ac:dyDescent="0.2">
      <c r="A118" s="55">
        <v>44562</v>
      </c>
      <c r="B118" s="45">
        <v>0</v>
      </c>
      <c r="C118" s="45">
        <v>1215.6458399999997</v>
      </c>
      <c r="D118" s="45">
        <v>0</v>
      </c>
      <c r="E118" s="45">
        <v>1363.7393188296353</v>
      </c>
      <c r="F118" s="45">
        <v>1215.6458399999997</v>
      </c>
      <c r="G118" s="45">
        <v>1363.7393188296353</v>
      </c>
    </row>
    <row r="119" spans="1:7" ht="11.25" customHeight="1" x14ac:dyDescent="0.2">
      <c r="A119" s="55">
        <v>44593</v>
      </c>
      <c r="B119" s="45">
        <v>0</v>
      </c>
      <c r="C119" s="45">
        <v>1405.8126600000001</v>
      </c>
      <c r="D119" s="45">
        <v>0</v>
      </c>
      <c r="E119" s="45">
        <v>1577.0728087635114</v>
      </c>
      <c r="F119" s="45">
        <v>1405.8126600000001</v>
      </c>
      <c r="G119" s="45">
        <v>1577.0728087635114</v>
      </c>
    </row>
    <row r="120" spans="1:7" ht="11.25" customHeight="1" x14ac:dyDescent="0.2">
      <c r="A120" s="55">
        <v>44621</v>
      </c>
      <c r="B120" s="45">
        <v>0</v>
      </c>
      <c r="C120" s="45">
        <v>846.33121199999982</v>
      </c>
      <c r="D120" s="45">
        <v>0</v>
      </c>
      <c r="E120" s="45">
        <v>949.43371875244497</v>
      </c>
      <c r="F120" s="45">
        <v>846.33121199999982</v>
      </c>
      <c r="G120" s="45">
        <v>949.43371875244497</v>
      </c>
    </row>
    <row r="121" spans="1:7" ht="11.25" customHeight="1" x14ac:dyDescent="0.2">
      <c r="A121" s="55">
        <v>44652</v>
      </c>
      <c r="B121" s="45">
        <v>0</v>
      </c>
      <c r="C121" s="45">
        <v>1023.7017599999999</v>
      </c>
      <c r="D121" s="45">
        <v>0</v>
      </c>
      <c r="E121" s="45">
        <v>1148.4120579617984</v>
      </c>
      <c r="F121" s="45">
        <v>1023.7017599999999</v>
      </c>
      <c r="G121" s="45">
        <v>1148.4120579617984</v>
      </c>
    </row>
    <row r="122" spans="1:7" ht="11.25" customHeight="1" x14ac:dyDescent="0.2">
      <c r="A122" s="55">
        <v>44682</v>
      </c>
      <c r="B122" s="45">
        <v>0</v>
      </c>
      <c r="C122" s="45">
        <v>1033.2989639999998</v>
      </c>
      <c r="D122" s="45">
        <v>0</v>
      </c>
      <c r="E122" s="45">
        <v>1159.1784210051901</v>
      </c>
      <c r="F122" s="45">
        <v>1033.2989639999998</v>
      </c>
      <c r="G122" s="45">
        <v>1159.1784210051901</v>
      </c>
    </row>
    <row r="123" spans="1:7" ht="11.25" customHeight="1" x14ac:dyDescent="0.2">
      <c r="A123" s="55">
        <v>44713</v>
      </c>
      <c r="B123" s="45">
        <v>0</v>
      </c>
      <c r="C123" s="45">
        <v>190.87772400000003</v>
      </c>
      <c r="D123" s="45">
        <v>0</v>
      </c>
      <c r="E123" s="45">
        <v>214.13099830746035</v>
      </c>
      <c r="F123" s="45">
        <v>190.87772400000003</v>
      </c>
      <c r="G123" s="45">
        <v>214.13099830746035</v>
      </c>
    </row>
    <row r="124" spans="1:7" ht="11.25" customHeight="1" x14ac:dyDescent="0.2">
      <c r="A124" s="55">
        <v>44743</v>
      </c>
      <c r="B124" s="45">
        <v>0</v>
      </c>
      <c r="C124" s="45">
        <v>154.62162000000001</v>
      </c>
      <c r="D124" s="45">
        <v>0</v>
      </c>
      <c r="E124" s="45">
        <v>173.45807125464665</v>
      </c>
      <c r="F124" s="45">
        <v>154.62162000000001</v>
      </c>
      <c r="G124" s="45">
        <v>173.45807125464665</v>
      </c>
    </row>
    <row r="125" spans="1:7" ht="11.25" customHeight="1" x14ac:dyDescent="0.2">
      <c r="A125" s="55">
        <v>44774</v>
      </c>
      <c r="B125" s="45">
        <v>0</v>
      </c>
      <c r="C125" s="45">
        <v>154.62162000000001</v>
      </c>
      <c r="D125" s="45">
        <v>0</v>
      </c>
      <c r="E125" s="45">
        <v>173.45807125464665</v>
      </c>
      <c r="F125" s="45">
        <v>154.62162000000001</v>
      </c>
      <c r="G125" s="45">
        <v>173.45807125464665</v>
      </c>
    </row>
    <row r="126" spans="1:7" ht="11.25" customHeight="1" x14ac:dyDescent="0.2">
      <c r="A126" s="47" t="s">
        <v>625</v>
      </c>
      <c r="B126" s="45">
        <v>0</v>
      </c>
      <c r="C126" s="45">
        <v>357182.23463999975</v>
      </c>
      <c r="D126" s="45">
        <v>0</v>
      </c>
      <c r="E126" s="45">
        <v>208067.32742930407</v>
      </c>
      <c r="F126" s="45">
        <v>357182.23463999981</v>
      </c>
      <c r="G126" s="45">
        <v>208067.32742930399</v>
      </c>
    </row>
    <row r="127" spans="1:7" ht="11.25" customHeight="1" x14ac:dyDescent="0.2">
      <c r="A127" s="48" t="s">
        <v>42</v>
      </c>
      <c r="B127" s="45">
        <v>0</v>
      </c>
      <c r="C127" s="45">
        <v>357182.23463999975</v>
      </c>
      <c r="D127" s="45">
        <v>0</v>
      </c>
      <c r="E127" s="45">
        <v>208067.32742930407</v>
      </c>
      <c r="F127" s="45">
        <v>357182.23463999981</v>
      </c>
      <c r="G127" s="45">
        <v>208067.32742930399</v>
      </c>
    </row>
    <row r="128" spans="1:7" ht="11.25" customHeight="1" x14ac:dyDescent="0.2">
      <c r="A128" s="49" t="s">
        <v>23</v>
      </c>
      <c r="B128" s="45">
        <v>0</v>
      </c>
      <c r="C128" s="45">
        <v>357182.23463999975</v>
      </c>
      <c r="D128" s="45">
        <v>0</v>
      </c>
      <c r="E128" s="45">
        <v>208067.32742930407</v>
      </c>
      <c r="F128" s="45">
        <v>357182.23463999981</v>
      </c>
      <c r="G128" s="45">
        <v>208067.32742930399</v>
      </c>
    </row>
    <row r="129" spans="1:7" ht="11.25" customHeight="1" x14ac:dyDescent="0.2">
      <c r="A129" s="50" t="s">
        <v>43</v>
      </c>
      <c r="B129" s="45">
        <v>0</v>
      </c>
      <c r="C129" s="45">
        <v>357182.23463999975</v>
      </c>
      <c r="D129" s="45">
        <v>0</v>
      </c>
      <c r="E129" s="45">
        <v>208067.32742930407</v>
      </c>
      <c r="F129" s="45">
        <v>357182.23463999981</v>
      </c>
      <c r="G129" s="45">
        <v>208067.32742930399</v>
      </c>
    </row>
    <row r="130" spans="1:7" ht="11.25" customHeight="1" x14ac:dyDescent="0.2">
      <c r="A130" s="51" t="s">
        <v>51</v>
      </c>
      <c r="B130" s="45">
        <v>0</v>
      </c>
      <c r="C130" s="45">
        <v>4249.0759199999966</v>
      </c>
      <c r="D130" s="45">
        <v>0</v>
      </c>
      <c r="E130" s="45">
        <v>2475.1899310156887</v>
      </c>
      <c r="F130" s="45">
        <v>4249.0759199999975</v>
      </c>
      <c r="G130" s="45">
        <v>2475.1899310156891</v>
      </c>
    </row>
    <row r="131" spans="1:7" ht="11.25" customHeight="1" x14ac:dyDescent="0.2">
      <c r="A131" s="52" t="s">
        <v>52</v>
      </c>
      <c r="B131" s="45">
        <v>0</v>
      </c>
      <c r="C131" s="45">
        <v>4249.0759199999966</v>
      </c>
      <c r="D131" s="45">
        <v>0</v>
      </c>
      <c r="E131" s="45">
        <v>2475.1899310156887</v>
      </c>
      <c r="F131" s="45">
        <v>4249.0759199999975</v>
      </c>
      <c r="G131" s="45">
        <v>2475.1899310156891</v>
      </c>
    </row>
    <row r="132" spans="1:7" ht="11.25" customHeight="1" x14ac:dyDescent="0.2">
      <c r="A132" s="53" t="s">
        <v>25</v>
      </c>
      <c r="B132" s="45">
        <v>0</v>
      </c>
      <c r="C132" s="45">
        <v>4249.0759199999966</v>
      </c>
      <c r="D132" s="45">
        <v>0</v>
      </c>
      <c r="E132" s="45">
        <v>2475.1899310156887</v>
      </c>
      <c r="F132" s="45">
        <v>4249.0759199999975</v>
      </c>
      <c r="G132" s="45">
        <v>2475.1899310156891</v>
      </c>
    </row>
    <row r="133" spans="1:7" ht="11.25" customHeight="1" x14ac:dyDescent="0.2">
      <c r="A133" s="54" t="s">
        <v>25</v>
      </c>
      <c r="B133" s="45">
        <v>0</v>
      </c>
      <c r="C133" s="45">
        <v>4249.0759199999966</v>
      </c>
      <c r="D133" s="45">
        <v>0</v>
      </c>
      <c r="E133" s="45">
        <v>2475.1899310156887</v>
      </c>
      <c r="F133" s="45">
        <v>4249.0759199999975</v>
      </c>
      <c r="G133" s="45">
        <v>2475.1899310156891</v>
      </c>
    </row>
    <row r="134" spans="1:7" ht="11.25" customHeight="1" x14ac:dyDescent="0.2">
      <c r="A134" s="55">
        <v>44440</v>
      </c>
      <c r="B134" s="45">
        <v>0</v>
      </c>
      <c r="C134" s="45">
        <v>410.98007999999976</v>
      </c>
      <c r="D134" s="45">
        <v>0</v>
      </c>
      <c r="E134" s="45">
        <v>239.40587907029501</v>
      </c>
      <c r="F134" s="45">
        <v>410.98007999999976</v>
      </c>
      <c r="G134" s="45">
        <v>239.40587907029501</v>
      </c>
    </row>
    <row r="135" spans="1:7" ht="11.25" customHeight="1" x14ac:dyDescent="0.2">
      <c r="A135" s="55">
        <v>44470</v>
      </c>
      <c r="B135" s="45">
        <v>0</v>
      </c>
      <c r="C135" s="45">
        <v>514.64657999999974</v>
      </c>
      <c r="D135" s="45">
        <v>0</v>
      </c>
      <c r="E135" s="45">
        <v>299.7941333200892</v>
      </c>
      <c r="F135" s="45">
        <v>514.64657999999974</v>
      </c>
      <c r="G135" s="45">
        <v>299.7941333200892</v>
      </c>
    </row>
    <row r="136" spans="1:7" ht="11.25" customHeight="1" x14ac:dyDescent="0.2">
      <c r="A136" s="55">
        <v>44501</v>
      </c>
      <c r="B136" s="45">
        <v>0</v>
      </c>
      <c r="C136" s="45">
        <v>762.19559999999956</v>
      </c>
      <c r="D136" s="45">
        <v>0</v>
      </c>
      <c r="E136" s="45">
        <v>443.99745029372457</v>
      </c>
      <c r="F136" s="45">
        <v>762.19559999999956</v>
      </c>
      <c r="G136" s="45">
        <v>443.99745029372457</v>
      </c>
    </row>
    <row r="137" spans="1:7" ht="11.25" customHeight="1" x14ac:dyDescent="0.2">
      <c r="A137" s="55">
        <v>44531</v>
      </c>
      <c r="B137" s="45">
        <v>0</v>
      </c>
      <c r="C137" s="45">
        <v>571.25177999999971</v>
      </c>
      <c r="D137" s="45">
        <v>0</v>
      </c>
      <c r="E137" s="45">
        <v>332.76803722791328</v>
      </c>
      <c r="F137" s="45">
        <v>571.25177999999971</v>
      </c>
      <c r="G137" s="45">
        <v>332.76803722791328</v>
      </c>
    </row>
    <row r="138" spans="1:7" ht="11.25" customHeight="1" x14ac:dyDescent="0.2">
      <c r="A138" s="55">
        <v>44562</v>
      </c>
      <c r="B138" s="45">
        <v>0</v>
      </c>
      <c r="C138" s="45">
        <v>1061.1500399999993</v>
      </c>
      <c r="D138" s="45">
        <v>0</v>
      </c>
      <c r="E138" s="45">
        <v>618.14567302551188</v>
      </c>
      <c r="F138" s="45">
        <v>1061.1500399999993</v>
      </c>
      <c r="G138" s="45">
        <v>618.14567302551188</v>
      </c>
    </row>
    <row r="139" spans="1:7" ht="11.25" customHeight="1" x14ac:dyDescent="0.2">
      <c r="A139" s="55">
        <v>44593</v>
      </c>
      <c r="B139" s="45">
        <v>0</v>
      </c>
      <c r="C139" s="45">
        <v>416.96969999999982</v>
      </c>
      <c r="D139" s="45">
        <v>0</v>
      </c>
      <c r="E139" s="45">
        <v>242.89497820472758</v>
      </c>
      <c r="F139" s="45">
        <v>416.96969999999982</v>
      </c>
      <c r="G139" s="45">
        <v>242.89497820472758</v>
      </c>
    </row>
    <row r="140" spans="1:7" ht="11.25" customHeight="1" x14ac:dyDescent="0.2">
      <c r="A140" s="55">
        <v>44621</v>
      </c>
      <c r="B140" s="45">
        <v>0</v>
      </c>
      <c r="C140" s="45">
        <v>137.36633999999992</v>
      </c>
      <c r="D140" s="45">
        <v>0</v>
      </c>
      <c r="E140" s="45">
        <v>80.019229599568504</v>
      </c>
      <c r="F140" s="45">
        <v>137.36633999999992</v>
      </c>
      <c r="G140" s="45">
        <v>80.019229599568504</v>
      </c>
    </row>
    <row r="141" spans="1:7" ht="11.25" customHeight="1" x14ac:dyDescent="0.2">
      <c r="A141" s="55">
        <v>44652</v>
      </c>
      <c r="B141" s="45">
        <v>0</v>
      </c>
      <c r="C141" s="45">
        <v>13.361459999999987</v>
      </c>
      <c r="D141" s="45">
        <v>0</v>
      </c>
      <c r="E141" s="45">
        <v>7.7833749921956858</v>
      </c>
      <c r="F141" s="45">
        <v>13.361459999999987</v>
      </c>
      <c r="G141" s="45">
        <v>7.7833749921956858</v>
      </c>
    </row>
    <row r="142" spans="1:7" ht="11.25" customHeight="1" x14ac:dyDescent="0.2">
      <c r="A142" s="55">
        <v>44682</v>
      </c>
      <c r="B142" s="45">
        <v>0</v>
      </c>
      <c r="C142" s="45">
        <v>31.98851999999998</v>
      </c>
      <c r="D142" s="45">
        <v>0</v>
      </c>
      <c r="E142" s="45">
        <v>18.634089882793621</v>
      </c>
      <c r="F142" s="45">
        <v>31.98851999999998</v>
      </c>
      <c r="G142" s="45">
        <v>18.634089882793621</v>
      </c>
    </row>
    <row r="143" spans="1:7" ht="11.25" customHeight="1" x14ac:dyDescent="0.2">
      <c r="A143" s="55">
        <v>44713</v>
      </c>
      <c r="B143" s="45">
        <v>0</v>
      </c>
      <c r="C143" s="45">
        <v>115.25081999999993</v>
      </c>
      <c r="D143" s="45">
        <v>0</v>
      </c>
      <c r="E143" s="45">
        <v>67.136402026279072</v>
      </c>
      <c r="F143" s="45">
        <v>115.25081999999993</v>
      </c>
      <c r="G143" s="45">
        <v>67.136402026279072</v>
      </c>
    </row>
    <row r="144" spans="1:7" ht="11.25" customHeight="1" x14ac:dyDescent="0.2">
      <c r="A144" s="55">
        <v>44743</v>
      </c>
      <c r="B144" s="45">
        <v>0</v>
      </c>
      <c r="C144" s="45">
        <v>106.95749999999994</v>
      </c>
      <c r="D144" s="45">
        <v>0</v>
      </c>
      <c r="E144" s="45">
        <v>62.305341686295549</v>
      </c>
      <c r="F144" s="45">
        <v>106.95749999999994</v>
      </c>
      <c r="G144" s="45">
        <v>62.305341686295549</v>
      </c>
    </row>
    <row r="145" spans="1:7" ht="11.25" customHeight="1" x14ac:dyDescent="0.2">
      <c r="A145" s="55">
        <v>44774</v>
      </c>
      <c r="B145" s="45">
        <v>0</v>
      </c>
      <c r="C145" s="45">
        <v>106.95749999999994</v>
      </c>
      <c r="D145" s="45">
        <v>0</v>
      </c>
      <c r="E145" s="45">
        <v>62.305341686295549</v>
      </c>
      <c r="F145" s="45">
        <v>106.95749999999994</v>
      </c>
      <c r="G145" s="45">
        <v>62.305341686295549</v>
      </c>
    </row>
    <row r="146" spans="1:7" ht="11.25" customHeight="1" x14ac:dyDescent="0.2">
      <c r="A146" s="51" t="s">
        <v>54</v>
      </c>
      <c r="B146" s="45">
        <v>0</v>
      </c>
      <c r="C146" s="45">
        <v>415.19255999999984</v>
      </c>
      <c r="D146" s="45">
        <v>0</v>
      </c>
      <c r="E146" s="45">
        <v>241.85975098901679</v>
      </c>
      <c r="F146" s="45">
        <v>415.19255999999984</v>
      </c>
      <c r="G146" s="45">
        <v>241.85975098901679</v>
      </c>
    </row>
    <row r="147" spans="1:7" ht="11.25" customHeight="1" x14ac:dyDescent="0.2">
      <c r="A147" s="52" t="s">
        <v>52</v>
      </c>
      <c r="B147" s="45">
        <v>0</v>
      </c>
      <c r="C147" s="45">
        <v>415.19255999999984</v>
      </c>
      <c r="D147" s="45">
        <v>0</v>
      </c>
      <c r="E147" s="45">
        <v>241.85975098901679</v>
      </c>
      <c r="F147" s="45">
        <v>415.19255999999984</v>
      </c>
      <c r="G147" s="45">
        <v>241.85975098901679</v>
      </c>
    </row>
    <row r="148" spans="1:7" ht="11.25" customHeight="1" x14ac:dyDescent="0.2">
      <c r="A148" s="53" t="s">
        <v>25</v>
      </c>
      <c r="B148" s="45">
        <v>0</v>
      </c>
      <c r="C148" s="45">
        <v>415.19255999999984</v>
      </c>
      <c r="D148" s="45">
        <v>0</v>
      </c>
      <c r="E148" s="45">
        <v>241.85975098901679</v>
      </c>
      <c r="F148" s="45">
        <v>415.19255999999984</v>
      </c>
      <c r="G148" s="45">
        <v>241.85975098901679</v>
      </c>
    </row>
    <row r="149" spans="1:7" ht="11.25" customHeight="1" x14ac:dyDescent="0.2">
      <c r="A149" s="54" t="s">
        <v>25</v>
      </c>
      <c r="B149" s="45">
        <v>0</v>
      </c>
      <c r="C149" s="45">
        <v>415.19255999999984</v>
      </c>
      <c r="D149" s="45">
        <v>0</v>
      </c>
      <c r="E149" s="45">
        <v>241.85975098901679</v>
      </c>
      <c r="F149" s="45">
        <v>415.19255999999984</v>
      </c>
      <c r="G149" s="45">
        <v>241.85975098901679</v>
      </c>
    </row>
    <row r="150" spans="1:7" ht="11.25" customHeight="1" x14ac:dyDescent="0.2">
      <c r="A150" s="55">
        <v>44440</v>
      </c>
      <c r="B150" s="45">
        <v>0</v>
      </c>
      <c r="C150" s="45">
        <v>16.060079999999992</v>
      </c>
      <c r="D150" s="45">
        <v>0</v>
      </c>
      <c r="E150" s="45">
        <v>9.3553866901268385</v>
      </c>
      <c r="F150" s="45">
        <v>16.060079999999992</v>
      </c>
      <c r="G150" s="45">
        <v>9.3553866901268385</v>
      </c>
    </row>
    <row r="151" spans="1:7" ht="11.25" customHeight="1" x14ac:dyDescent="0.2">
      <c r="A151" s="55">
        <v>44470</v>
      </c>
      <c r="B151" s="45">
        <v>0</v>
      </c>
      <c r="C151" s="45">
        <v>11.781779999999992</v>
      </c>
      <c r="D151" s="45">
        <v>0</v>
      </c>
      <c r="E151" s="45">
        <v>6.8631730226750172</v>
      </c>
      <c r="F151" s="45">
        <v>11.781779999999992</v>
      </c>
      <c r="G151" s="45">
        <v>6.8631730226750172</v>
      </c>
    </row>
    <row r="152" spans="1:7" ht="11.25" customHeight="1" x14ac:dyDescent="0.2">
      <c r="A152" s="55">
        <v>44501</v>
      </c>
      <c r="B152" s="45">
        <v>0</v>
      </c>
      <c r="C152" s="45">
        <v>31.26449999999998</v>
      </c>
      <c r="D152" s="45">
        <v>0</v>
      </c>
      <c r="E152" s="45">
        <v>18.212330646763313</v>
      </c>
      <c r="F152" s="45">
        <v>31.26449999999998</v>
      </c>
      <c r="G152" s="45">
        <v>18.212330646763313</v>
      </c>
    </row>
    <row r="153" spans="1:7" ht="11.25" customHeight="1" x14ac:dyDescent="0.2">
      <c r="A153" s="55">
        <v>44531</v>
      </c>
      <c r="B153" s="45">
        <v>0</v>
      </c>
      <c r="C153" s="45">
        <v>23.234459999999988</v>
      </c>
      <c r="D153" s="45">
        <v>0</v>
      </c>
      <c r="E153" s="45">
        <v>13.534637301699894</v>
      </c>
      <c r="F153" s="45">
        <v>23.234459999999988</v>
      </c>
      <c r="G153" s="45">
        <v>13.534637301699894</v>
      </c>
    </row>
    <row r="154" spans="1:7" ht="11.25" customHeight="1" x14ac:dyDescent="0.2">
      <c r="A154" s="55">
        <v>44562</v>
      </c>
      <c r="B154" s="45">
        <v>0</v>
      </c>
      <c r="C154" s="45">
        <v>53.445839999999976</v>
      </c>
      <c r="D154" s="45">
        <v>0</v>
      </c>
      <c r="E154" s="45">
        <v>31.133499968782761</v>
      </c>
      <c r="F154" s="45">
        <v>53.445839999999976</v>
      </c>
      <c r="G154" s="45">
        <v>31.133499968782761</v>
      </c>
    </row>
    <row r="155" spans="1:7" ht="11.25" customHeight="1" x14ac:dyDescent="0.2">
      <c r="A155" s="55">
        <v>44593</v>
      </c>
      <c r="B155" s="45">
        <v>0</v>
      </c>
      <c r="C155" s="45">
        <v>58.316519999999969</v>
      </c>
      <c r="D155" s="45">
        <v>0</v>
      </c>
      <c r="E155" s="45">
        <v>33.970789374804838</v>
      </c>
      <c r="F155" s="45">
        <v>58.316519999999969</v>
      </c>
      <c r="G155" s="45">
        <v>33.970789374804838</v>
      </c>
    </row>
    <row r="156" spans="1:7" ht="11.25" customHeight="1" x14ac:dyDescent="0.2">
      <c r="A156" s="55">
        <v>44621</v>
      </c>
      <c r="B156" s="45">
        <v>0</v>
      </c>
      <c r="C156" s="45">
        <v>71.414699999999954</v>
      </c>
      <c r="D156" s="45">
        <v>0</v>
      </c>
      <c r="E156" s="45">
        <v>41.600797372080415</v>
      </c>
      <c r="F156" s="45">
        <v>71.414699999999954</v>
      </c>
      <c r="G156" s="45">
        <v>41.600797372080415</v>
      </c>
    </row>
    <row r="157" spans="1:7" ht="11.25" customHeight="1" x14ac:dyDescent="0.2">
      <c r="A157" s="55">
        <v>44652</v>
      </c>
      <c r="B157" s="45">
        <v>0</v>
      </c>
      <c r="C157" s="45">
        <v>69.110999999999962</v>
      </c>
      <c r="D157" s="45">
        <v>0</v>
      </c>
      <c r="E157" s="45">
        <v>40.258836166529434</v>
      </c>
      <c r="F157" s="45">
        <v>69.110999999999962</v>
      </c>
      <c r="G157" s="45">
        <v>40.258836166529434</v>
      </c>
    </row>
    <row r="158" spans="1:7" ht="11.25" customHeight="1" x14ac:dyDescent="0.2">
      <c r="A158" s="55">
        <v>44682</v>
      </c>
      <c r="B158" s="45">
        <v>0</v>
      </c>
      <c r="C158" s="45">
        <v>45.744899999999973</v>
      </c>
      <c r="D158" s="45">
        <v>0</v>
      </c>
      <c r="E158" s="45">
        <v>26.647515367369479</v>
      </c>
      <c r="F158" s="45">
        <v>45.744899999999973</v>
      </c>
      <c r="G158" s="45">
        <v>26.647515367369479</v>
      </c>
    </row>
    <row r="159" spans="1:7" ht="11.25" customHeight="1" x14ac:dyDescent="0.2">
      <c r="A159" s="55">
        <v>44713</v>
      </c>
      <c r="B159" s="45">
        <v>0</v>
      </c>
      <c r="C159" s="45">
        <v>13.756379999999993</v>
      </c>
      <c r="D159" s="45">
        <v>0</v>
      </c>
      <c r="E159" s="45">
        <v>8.0134254845758583</v>
      </c>
      <c r="F159" s="45">
        <v>13.756379999999993</v>
      </c>
      <c r="G159" s="45">
        <v>8.0134254845758583</v>
      </c>
    </row>
    <row r="160" spans="1:7" ht="11.25" customHeight="1" x14ac:dyDescent="0.2">
      <c r="A160" s="55">
        <v>44743</v>
      </c>
      <c r="B160" s="45">
        <v>0</v>
      </c>
      <c r="C160" s="45">
        <v>10.531199999999995</v>
      </c>
      <c r="D160" s="45">
        <v>0</v>
      </c>
      <c r="E160" s="45">
        <v>6.1346797968044848</v>
      </c>
      <c r="F160" s="45">
        <v>10.531199999999995</v>
      </c>
      <c r="G160" s="45">
        <v>6.1346797968044848</v>
      </c>
    </row>
    <row r="161" spans="1:7" ht="11.25" customHeight="1" x14ac:dyDescent="0.2">
      <c r="A161" s="55">
        <v>44774</v>
      </c>
      <c r="B161" s="45">
        <v>0</v>
      </c>
      <c r="C161" s="45">
        <v>10.531199999999995</v>
      </c>
      <c r="D161" s="45">
        <v>0</v>
      </c>
      <c r="E161" s="45">
        <v>6.1346797968044848</v>
      </c>
      <c r="F161" s="45">
        <v>10.531199999999995</v>
      </c>
      <c r="G161" s="45">
        <v>6.1346797968044848</v>
      </c>
    </row>
    <row r="162" spans="1:7" ht="11.25" customHeight="1" x14ac:dyDescent="0.2">
      <c r="A162" s="51" t="s">
        <v>25</v>
      </c>
      <c r="B162" s="45">
        <v>0</v>
      </c>
      <c r="C162" s="45">
        <v>352517.96615999978</v>
      </c>
      <c r="D162" s="45">
        <v>0</v>
      </c>
      <c r="E162" s="45">
        <v>205350.27774729938</v>
      </c>
      <c r="F162" s="45">
        <v>352517.96615999984</v>
      </c>
      <c r="G162" s="45">
        <v>205350.27774729932</v>
      </c>
    </row>
    <row r="163" spans="1:7" ht="11.25" customHeight="1" x14ac:dyDescent="0.2">
      <c r="A163" s="52" t="s">
        <v>25</v>
      </c>
      <c r="B163" s="45">
        <v>0</v>
      </c>
      <c r="C163" s="45">
        <v>352517.96615999978</v>
      </c>
      <c r="D163" s="45">
        <v>0</v>
      </c>
      <c r="E163" s="45">
        <v>205350.27774729938</v>
      </c>
      <c r="F163" s="45">
        <v>352517.96615999984</v>
      </c>
      <c r="G163" s="45">
        <v>205350.27774729932</v>
      </c>
    </row>
    <row r="164" spans="1:7" ht="11.25" customHeight="1" x14ac:dyDescent="0.2">
      <c r="A164" s="53" t="s">
        <v>25</v>
      </c>
      <c r="B164" s="45">
        <v>0</v>
      </c>
      <c r="C164" s="45">
        <v>352517.96615999978</v>
      </c>
      <c r="D164" s="45">
        <v>0</v>
      </c>
      <c r="E164" s="45">
        <v>205350.27774729938</v>
      </c>
      <c r="F164" s="45">
        <v>352517.96615999984</v>
      </c>
      <c r="G164" s="45">
        <v>205350.27774729932</v>
      </c>
    </row>
    <row r="165" spans="1:7" ht="11.25" customHeight="1" x14ac:dyDescent="0.2">
      <c r="A165" s="54" t="s">
        <v>25</v>
      </c>
      <c r="B165" s="45">
        <v>0</v>
      </c>
      <c r="C165" s="45">
        <v>352517.96615999978</v>
      </c>
      <c r="D165" s="45">
        <v>0</v>
      </c>
      <c r="E165" s="45">
        <v>205350.27774729938</v>
      </c>
      <c r="F165" s="45">
        <v>352517.96615999984</v>
      </c>
      <c r="G165" s="45">
        <v>205350.27774729932</v>
      </c>
    </row>
    <row r="166" spans="1:7" ht="11.25" customHeight="1" x14ac:dyDescent="0.2">
      <c r="A166" s="55">
        <v>44440</v>
      </c>
      <c r="B166" s="45">
        <v>0</v>
      </c>
      <c r="C166" s="45">
        <v>24488.528459999983</v>
      </c>
      <c r="D166" s="45">
        <v>0</v>
      </c>
      <c r="E166" s="45">
        <v>14265.162640253118</v>
      </c>
      <c r="F166" s="45">
        <v>24488.528459999983</v>
      </c>
      <c r="G166" s="45">
        <v>14265.162640253118</v>
      </c>
    </row>
    <row r="167" spans="1:7" ht="11.25" customHeight="1" x14ac:dyDescent="0.2">
      <c r="A167" s="55">
        <v>44470</v>
      </c>
      <c r="B167" s="45">
        <v>0</v>
      </c>
      <c r="C167" s="45">
        <v>25902.276239999988</v>
      </c>
      <c r="D167" s="45">
        <v>0</v>
      </c>
      <c r="E167" s="45">
        <v>15088.70506122539</v>
      </c>
      <c r="F167" s="45">
        <v>25902.276239999988</v>
      </c>
      <c r="G167" s="45">
        <v>15088.70506122539</v>
      </c>
    </row>
    <row r="168" spans="1:7" ht="11.25" customHeight="1" x14ac:dyDescent="0.2">
      <c r="A168" s="55">
        <v>44501</v>
      </c>
      <c r="B168" s="45">
        <v>0</v>
      </c>
      <c r="C168" s="45">
        <v>33452.290979999976</v>
      </c>
      <c r="D168" s="45">
        <v>0</v>
      </c>
      <c r="E168" s="45">
        <v>19486.772032800716</v>
      </c>
      <c r="F168" s="45">
        <v>33452.290979999976</v>
      </c>
      <c r="G168" s="45">
        <v>19486.772032800716</v>
      </c>
    </row>
    <row r="169" spans="1:7" ht="11.25" customHeight="1" x14ac:dyDescent="0.2">
      <c r="A169" s="55">
        <v>44531</v>
      </c>
      <c r="B169" s="45">
        <v>0</v>
      </c>
      <c r="C169" s="45">
        <v>35661.012719999977</v>
      </c>
      <c r="D169" s="45">
        <v>0</v>
      </c>
      <c r="E169" s="45">
        <v>20773.406094934267</v>
      </c>
      <c r="F169" s="45">
        <v>35661.012719999977</v>
      </c>
      <c r="G169" s="45">
        <v>20773.406094934267</v>
      </c>
    </row>
    <row r="170" spans="1:7" ht="11.25" customHeight="1" x14ac:dyDescent="0.2">
      <c r="A170" s="55">
        <v>44562</v>
      </c>
      <c r="B170" s="45">
        <v>0</v>
      </c>
      <c r="C170" s="45">
        <v>35032.300079999979</v>
      </c>
      <c r="D170" s="45">
        <v>0</v>
      </c>
      <c r="E170" s="45">
        <v>20407.165711065038</v>
      </c>
      <c r="F170" s="45">
        <v>35032.300079999979</v>
      </c>
      <c r="G170" s="45">
        <v>20407.165711065038</v>
      </c>
    </row>
    <row r="171" spans="1:7" ht="11.25" customHeight="1" x14ac:dyDescent="0.2">
      <c r="A171" s="55">
        <v>44593</v>
      </c>
      <c r="B171" s="45">
        <v>0</v>
      </c>
      <c r="C171" s="45">
        <v>34665.090299999982</v>
      </c>
      <c r="D171" s="45">
        <v>0</v>
      </c>
      <c r="E171" s="45">
        <v>20193.257094900211</v>
      </c>
      <c r="F171" s="45">
        <v>34665.090299999982</v>
      </c>
      <c r="G171" s="45">
        <v>20193.257094900211</v>
      </c>
    </row>
    <row r="172" spans="1:7" ht="11.25" customHeight="1" x14ac:dyDescent="0.2">
      <c r="A172" s="55">
        <v>44621</v>
      </c>
      <c r="B172" s="45">
        <v>0</v>
      </c>
      <c r="C172" s="45">
        <v>30663.497579999985</v>
      </c>
      <c r="D172" s="45">
        <v>0</v>
      </c>
      <c r="E172" s="45">
        <v>17862.232139109426</v>
      </c>
      <c r="F172" s="45">
        <v>30663.497579999985</v>
      </c>
      <c r="G172" s="45">
        <v>17862.232139109426</v>
      </c>
    </row>
    <row r="173" spans="1:7" ht="11.25" customHeight="1" x14ac:dyDescent="0.2">
      <c r="A173" s="55">
        <v>44652</v>
      </c>
      <c r="B173" s="45">
        <v>0</v>
      </c>
      <c r="C173" s="45">
        <v>33371.529839999981</v>
      </c>
      <c r="D173" s="45">
        <v>0</v>
      </c>
      <c r="E173" s="45">
        <v>19439.726707108974</v>
      </c>
      <c r="F173" s="45">
        <v>33371.529839999981</v>
      </c>
      <c r="G173" s="45">
        <v>19439.726707108974</v>
      </c>
    </row>
    <row r="174" spans="1:7" ht="11.25" customHeight="1" x14ac:dyDescent="0.2">
      <c r="A174" s="55">
        <v>44682</v>
      </c>
      <c r="B174" s="45">
        <v>0</v>
      </c>
      <c r="C174" s="45">
        <v>26949.998999999985</v>
      </c>
      <c r="D174" s="45">
        <v>0</v>
      </c>
      <c r="E174" s="45">
        <v>15699.029017509976</v>
      </c>
      <c r="F174" s="45">
        <v>26949.998999999985</v>
      </c>
      <c r="G174" s="45">
        <v>15699.029017509976</v>
      </c>
    </row>
    <row r="175" spans="1:7" ht="11.25" customHeight="1" x14ac:dyDescent="0.2">
      <c r="A175" s="55">
        <v>44713</v>
      </c>
      <c r="B175" s="45">
        <v>0</v>
      </c>
      <c r="C175" s="45">
        <v>25709.950199999988</v>
      </c>
      <c r="D175" s="45">
        <v>0</v>
      </c>
      <c r="E175" s="45">
        <v>14976.670471436251</v>
      </c>
      <c r="F175" s="45">
        <v>25709.950199999988</v>
      </c>
      <c r="G175" s="45">
        <v>14976.670471436251</v>
      </c>
    </row>
    <row r="176" spans="1:7" ht="11.25" customHeight="1" x14ac:dyDescent="0.2">
      <c r="A176" s="55">
        <v>44743</v>
      </c>
      <c r="B176" s="45">
        <v>0</v>
      </c>
      <c r="C176" s="45">
        <v>23310.745379999993</v>
      </c>
      <c r="D176" s="45">
        <v>0</v>
      </c>
      <c r="E176" s="45">
        <v>13579.075388477997</v>
      </c>
      <c r="F176" s="45">
        <v>23310.745379999993</v>
      </c>
      <c r="G176" s="45">
        <v>13579.075388477997</v>
      </c>
    </row>
    <row r="177" spans="1:7" ht="11.25" customHeight="1" x14ac:dyDescent="0.2">
      <c r="A177" s="55">
        <v>44774</v>
      </c>
      <c r="B177" s="45">
        <v>0</v>
      </c>
      <c r="C177" s="45">
        <v>23310.745379999993</v>
      </c>
      <c r="D177" s="45">
        <v>0</v>
      </c>
      <c r="E177" s="45">
        <v>13579.075388477997</v>
      </c>
      <c r="F177" s="45">
        <v>23310.745379999993</v>
      </c>
      <c r="G177" s="45">
        <v>13579.075388477997</v>
      </c>
    </row>
    <row r="178" spans="1:7" ht="11.25" customHeight="1" x14ac:dyDescent="0.2">
      <c r="A178" s="47" t="s">
        <v>634</v>
      </c>
      <c r="B178" s="45">
        <v>0</v>
      </c>
      <c r="C178" s="45">
        <v>0</v>
      </c>
      <c r="D178" s="45">
        <v>0</v>
      </c>
      <c r="E178" s="45">
        <v>0</v>
      </c>
      <c r="F178" s="45">
        <v>0</v>
      </c>
      <c r="G178" s="45">
        <v>0</v>
      </c>
    </row>
    <row r="179" spans="1:7" ht="11.25" customHeight="1" x14ac:dyDescent="0.2">
      <c r="A179" s="48" t="s">
        <v>22</v>
      </c>
      <c r="B179" s="45">
        <v>0</v>
      </c>
      <c r="C179" s="45">
        <v>0</v>
      </c>
      <c r="D179" s="45">
        <v>0</v>
      </c>
      <c r="E179" s="45">
        <v>0</v>
      </c>
      <c r="F179" s="45">
        <v>0</v>
      </c>
      <c r="G179" s="45">
        <v>0</v>
      </c>
    </row>
    <row r="180" spans="1:7" ht="11.25" customHeight="1" x14ac:dyDescent="0.2">
      <c r="A180" s="49" t="s">
        <v>23</v>
      </c>
      <c r="B180" s="45">
        <v>0</v>
      </c>
      <c r="C180" s="45">
        <v>0</v>
      </c>
      <c r="D180" s="45">
        <v>0</v>
      </c>
      <c r="E180" s="45">
        <v>0</v>
      </c>
      <c r="F180" s="45">
        <v>0</v>
      </c>
      <c r="G180" s="45">
        <v>0</v>
      </c>
    </row>
    <row r="181" spans="1:7" ht="11.25" customHeight="1" x14ac:dyDescent="0.2">
      <c r="A181" s="50" t="s">
        <v>24</v>
      </c>
      <c r="B181" s="45">
        <v>0</v>
      </c>
      <c r="C181" s="45">
        <v>0</v>
      </c>
      <c r="D181" s="45">
        <v>0</v>
      </c>
      <c r="E181" s="45">
        <v>0</v>
      </c>
      <c r="F181" s="45">
        <v>0</v>
      </c>
      <c r="G181" s="45">
        <v>0</v>
      </c>
    </row>
    <row r="182" spans="1:7" ht="11.25" customHeight="1" x14ac:dyDescent="0.2">
      <c r="A182" s="51" t="s">
        <v>24</v>
      </c>
      <c r="B182" s="45">
        <v>0</v>
      </c>
      <c r="C182" s="45">
        <v>0</v>
      </c>
      <c r="D182" s="45">
        <v>0</v>
      </c>
      <c r="E182" s="45">
        <v>0</v>
      </c>
      <c r="F182" s="45">
        <v>0</v>
      </c>
      <c r="G182" s="45">
        <v>0</v>
      </c>
    </row>
    <row r="183" spans="1:7" ht="11.25" customHeight="1" x14ac:dyDescent="0.2">
      <c r="A183" s="52" t="s">
        <v>25</v>
      </c>
      <c r="B183" s="45">
        <v>0</v>
      </c>
      <c r="C183" s="45">
        <v>0</v>
      </c>
      <c r="D183" s="45">
        <v>0</v>
      </c>
      <c r="E183" s="45">
        <v>0</v>
      </c>
      <c r="F183" s="45">
        <v>0</v>
      </c>
      <c r="G183" s="45">
        <v>0</v>
      </c>
    </row>
    <row r="184" spans="1:7" ht="11.25" customHeight="1" x14ac:dyDescent="0.2">
      <c r="A184" s="53" t="s">
        <v>25</v>
      </c>
      <c r="B184" s="45">
        <v>0</v>
      </c>
      <c r="C184" s="45">
        <v>0</v>
      </c>
      <c r="D184" s="45">
        <v>0</v>
      </c>
      <c r="E184" s="45">
        <v>0</v>
      </c>
      <c r="F184" s="45">
        <v>0</v>
      </c>
      <c r="G184" s="45">
        <v>0</v>
      </c>
    </row>
    <row r="185" spans="1:7" ht="11.25" customHeight="1" x14ac:dyDescent="0.2">
      <c r="A185" s="54" t="s">
        <v>25</v>
      </c>
      <c r="B185" s="45">
        <v>0</v>
      </c>
      <c r="C185" s="45">
        <v>0</v>
      </c>
      <c r="D185" s="45">
        <v>0</v>
      </c>
      <c r="E185" s="45">
        <v>0</v>
      </c>
      <c r="F185" s="45">
        <v>0</v>
      </c>
      <c r="G185" s="45">
        <v>0</v>
      </c>
    </row>
    <row r="186" spans="1:7" ht="11.25" customHeight="1" x14ac:dyDescent="0.2">
      <c r="A186" s="55">
        <v>44440</v>
      </c>
      <c r="B186" s="45">
        <v>0</v>
      </c>
      <c r="C186" s="45">
        <v>0</v>
      </c>
      <c r="D186" s="45">
        <v>0</v>
      </c>
      <c r="E186" s="45">
        <v>0</v>
      </c>
      <c r="F186" s="45">
        <v>0</v>
      </c>
      <c r="G186" s="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DDD5-F2E0-4862-9A6E-B0B587634E93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85" t="s">
        <v>700</v>
      </c>
      <c r="B1" s="106"/>
      <c r="C1" s="106"/>
      <c r="D1" s="106"/>
      <c r="E1" s="106"/>
      <c r="F1" s="106"/>
      <c r="G1" s="106"/>
      <c r="H1" s="106"/>
      <c r="I1" s="106"/>
      <c r="J1" s="106"/>
      <c r="L1" s="85" t="s">
        <v>710</v>
      </c>
      <c r="M1" s="86"/>
      <c r="N1" s="86"/>
      <c r="O1" s="86"/>
      <c r="P1" s="86"/>
      <c r="Q1" s="86"/>
      <c r="R1" s="86"/>
      <c r="S1" s="86"/>
      <c r="T1" s="86"/>
      <c r="U1" s="86"/>
      <c r="V1" s="86"/>
    </row>
    <row r="2" spans="1:22" ht="11.25" customHeight="1" x14ac:dyDescent="0.3">
      <c r="A2" s="102" t="s">
        <v>62</v>
      </c>
      <c r="B2" s="102" t="s">
        <v>63</v>
      </c>
      <c r="C2" s="102" t="s">
        <v>701</v>
      </c>
      <c r="D2" s="102" t="s">
        <v>68</v>
      </c>
      <c r="E2" s="102" t="s">
        <v>702</v>
      </c>
      <c r="F2" s="105"/>
      <c r="G2" s="105"/>
      <c r="H2" s="102" t="s">
        <v>465</v>
      </c>
      <c r="I2" s="105"/>
      <c r="J2" s="105"/>
      <c r="L2" s="102" t="s">
        <v>62</v>
      </c>
      <c r="M2" s="102" t="s">
        <v>63</v>
      </c>
      <c r="N2" s="102" t="s">
        <v>64</v>
      </c>
      <c r="O2" s="102" t="s">
        <v>65</v>
      </c>
      <c r="P2" s="102" t="s">
        <v>68</v>
      </c>
      <c r="Q2" s="102" t="s">
        <v>702</v>
      </c>
      <c r="R2" s="107"/>
      <c r="S2" s="107"/>
      <c r="T2" s="102" t="s">
        <v>465</v>
      </c>
      <c r="U2" s="107"/>
      <c r="V2" s="107"/>
    </row>
    <row r="3" spans="1:22" ht="11.25" customHeight="1" x14ac:dyDescent="0.3">
      <c r="A3" s="105"/>
      <c r="B3" s="105"/>
      <c r="C3" s="105"/>
      <c r="D3" s="105"/>
      <c r="E3" s="102" t="s">
        <v>423</v>
      </c>
      <c r="F3" s="105"/>
      <c r="G3" s="36" t="s">
        <v>451</v>
      </c>
      <c r="H3" s="102" t="s">
        <v>423</v>
      </c>
      <c r="I3" s="105"/>
      <c r="J3" s="36" t="s">
        <v>451</v>
      </c>
      <c r="L3" s="107"/>
      <c r="M3" s="107"/>
      <c r="N3" s="107"/>
      <c r="O3" s="107"/>
      <c r="P3" s="107"/>
      <c r="Q3" s="102" t="s">
        <v>423</v>
      </c>
      <c r="R3" s="107"/>
      <c r="S3" s="36" t="s">
        <v>451</v>
      </c>
      <c r="T3" s="102" t="s">
        <v>423</v>
      </c>
      <c r="U3" s="107"/>
      <c r="V3" s="36" t="s">
        <v>451</v>
      </c>
    </row>
    <row r="4" spans="1:22" ht="11.25" customHeight="1" x14ac:dyDescent="0.3">
      <c r="A4" s="105"/>
      <c r="B4" s="105"/>
      <c r="C4" s="105"/>
      <c r="D4" s="105"/>
      <c r="E4" s="36" t="s">
        <v>703</v>
      </c>
      <c r="F4" s="36" t="s">
        <v>704</v>
      </c>
      <c r="G4" s="36" t="s">
        <v>704</v>
      </c>
      <c r="H4" s="36" t="s">
        <v>703</v>
      </c>
      <c r="I4" s="36" t="s">
        <v>704</v>
      </c>
      <c r="J4" s="36" t="s">
        <v>704</v>
      </c>
      <c r="L4" s="107"/>
      <c r="M4" s="107"/>
      <c r="N4" s="107"/>
      <c r="O4" s="107"/>
      <c r="P4" s="107"/>
      <c r="Q4" s="36" t="s">
        <v>703</v>
      </c>
      <c r="R4" s="36" t="s">
        <v>704</v>
      </c>
      <c r="S4" s="36" t="s">
        <v>704</v>
      </c>
      <c r="T4" s="36" t="s">
        <v>703</v>
      </c>
      <c r="U4" s="36" t="s">
        <v>704</v>
      </c>
      <c r="V4" s="36" t="s">
        <v>704</v>
      </c>
    </row>
    <row r="5" spans="1:22" ht="11.25" customHeight="1" x14ac:dyDescent="0.3">
      <c r="A5" s="104" t="s">
        <v>35</v>
      </c>
      <c r="B5" s="104" t="s">
        <v>75</v>
      </c>
      <c r="C5" s="104" t="s">
        <v>25</v>
      </c>
      <c r="D5" s="37" t="s">
        <v>705</v>
      </c>
      <c r="E5" s="35">
        <f ca="1">ROUND('TUSD BE'!$AM$5+'TUSD BF'!$AM$5+'TUSD CVA'!$AM$5,2)</f>
        <v>90.43</v>
      </c>
      <c r="F5" s="35">
        <f ca="1">ROUND('TUSD BE'!$AM$7+'TUSD BF'!$AM$7+'TUSD CVA'!$AM$7,2)</f>
        <v>88.7</v>
      </c>
      <c r="G5" s="35">
        <f>ROUND('TE BE'!$AB$5+'TE BF'!$AB$5+'TE CVA'!$AB$5,2)</f>
        <v>191.01</v>
      </c>
      <c r="H5" s="35">
        <f ca="1">ROUND('TUSD BE'!$AM$5,2)</f>
        <v>118.97</v>
      </c>
      <c r="I5" s="35">
        <f ca="1">ROUND('TUSD BE'!$AM$7,2)</f>
        <v>92.09</v>
      </c>
      <c r="J5" s="35">
        <f>ROUND('TE BE'!$AB$5,2)</f>
        <v>185.13</v>
      </c>
      <c r="L5" s="108" t="s">
        <v>22</v>
      </c>
      <c r="M5" s="108" t="s">
        <v>711</v>
      </c>
      <c r="N5" s="108" t="s">
        <v>712</v>
      </c>
      <c r="O5" s="108" t="s">
        <v>712</v>
      </c>
      <c r="P5" s="37" t="s">
        <v>705</v>
      </c>
      <c r="Q5" s="35">
        <v>0</v>
      </c>
      <c r="R5" s="35">
        <f ca="1">ROUND('TUSD BE'!$AM$17+'TUSD BF'!$AM$17+'TUSD CVA'!$AM$17,2)</f>
        <v>1032.1199999999999</v>
      </c>
      <c r="S5" s="35">
        <f>ROUND('TE BE'!$AB$7+'TE BF'!$AB$7+'TE CVA'!$AB$7,2)</f>
        <v>191.01</v>
      </c>
      <c r="T5" s="35">
        <v>0</v>
      </c>
      <c r="U5" s="35">
        <f ca="1">ROUND('TUSD BE'!$AM$17,2)</f>
        <v>1358.79</v>
      </c>
      <c r="V5" s="35">
        <f>ROUND('TE BE'!$AB$7,2)</f>
        <v>185.13</v>
      </c>
    </row>
    <row r="6" spans="1:22" ht="11.25" customHeight="1" x14ac:dyDescent="0.3">
      <c r="A6" s="105"/>
      <c r="B6" s="105"/>
      <c r="C6" s="105"/>
      <c r="D6" s="37" t="s">
        <v>706</v>
      </c>
      <c r="E6" s="35">
        <f ca="1">ROUND('TUSD BE'!$AM$6+'TUSD BF'!$AM$6+'TUSD CVA'!$AM$6,2)</f>
        <v>29.82</v>
      </c>
      <c r="F6" s="35">
        <f ca="1">ROUND('TUSD BE'!$AM$7+'TUSD BF'!$AM$7+'TUSD CVA'!$AM$7,2)</f>
        <v>88.7</v>
      </c>
      <c r="G6" s="35">
        <f>ROUND('TE BE'!$AB$6+'TE BF'!$AB$6+'TE CVA'!$AB$6,2)</f>
        <v>191.01</v>
      </c>
      <c r="H6" s="35">
        <f ca="1">ROUND('TUSD BE'!$AM$6,2)</f>
        <v>37.69</v>
      </c>
      <c r="I6" s="35">
        <f ca="1">ROUND('TUSD BE'!$AM$7,2)</f>
        <v>92.09</v>
      </c>
      <c r="J6" s="35">
        <f>ROUND('TE BE'!$AB$6,2)</f>
        <v>185.13</v>
      </c>
      <c r="L6" s="109"/>
      <c r="M6" s="109"/>
      <c r="N6" s="109"/>
      <c r="O6" s="109"/>
      <c r="P6" s="37" t="s">
        <v>713</v>
      </c>
      <c r="Q6" s="35">
        <v>0</v>
      </c>
      <c r="R6" s="35">
        <f ca="1">ROUND('TUSD BE'!$AM$18+'TUSD BF'!$AM$18+'TUSD CVA'!$AM$18,2)</f>
        <v>661.08</v>
      </c>
      <c r="S6" s="35">
        <f>ROUND('TE BE'!$AB$8+'TE BF'!$AB$8+'TE CVA'!$AB$8,2)</f>
        <v>191.01</v>
      </c>
      <c r="T6" s="35">
        <v>0</v>
      </c>
      <c r="U6" s="35">
        <f ca="1">ROUND('TUSD BE'!$AM$18,2)</f>
        <v>858.65</v>
      </c>
      <c r="V6" s="35">
        <f>ROUND('TE BE'!$AB$8,2)</f>
        <v>185.13</v>
      </c>
    </row>
    <row r="7" spans="1:22" ht="11.25" customHeight="1" x14ac:dyDescent="0.3">
      <c r="A7" s="105"/>
      <c r="B7" s="104" t="s">
        <v>707</v>
      </c>
      <c r="C7" s="104" t="s">
        <v>25</v>
      </c>
      <c r="D7" s="37" t="s">
        <v>705</v>
      </c>
      <c r="E7" s="35">
        <f ca="1">ROUND('TUSD BE'!$AM$5+'TUSD BF'!$AM$5+'TUSD CVA'!$AM$5,2)</f>
        <v>90.43</v>
      </c>
      <c r="F7" s="35">
        <f ca="1">ROUND('TUSD BE'!$AM$8+'TUSD BF'!$AM$8+'TUSD CVA'!$AM$8,2)</f>
        <v>1.58</v>
      </c>
      <c r="G7" s="35">
        <v>0</v>
      </c>
      <c r="H7" s="35">
        <f ca="1">ROUND('TUSD BE'!$AM$5,2)</f>
        <v>118.97</v>
      </c>
      <c r="I7" s="35">
        <f ca="1">ROUND('TUSD BE'!$AM$8,2)</f>
        <v>1.58</v>
      </c>
      <c r="J7" s="35">
        <v>0</v>
      </c>
      <c r="L7" s="109"/>
      <c r="M7" s="110"/>
      <c r="N7" s="110"/>
      <c r="O7" s="110"/>
      <c r="P7" s="37" t="s">
        <v>706</v>
      </c>
      <c r="Q7" s="35">
        <v>0</v>
      </c>
      <c r="R7" s="35">
        <f ca="1">ROUND('TUSD BE'!$AM$19+'TUSD BF'!$AM$19+'TUSD CVA'!$AM$19,2)</f>
        <v>290.10000000000002</v>
      </c>
      <c r="S7" s="35">
        <f>ROUND('TE BE'!$AB$9+'TE BF'!$AB$9+'TE CVA'!$AB$9,2)</f>
        <v>191.01</v>
      </c>
      <c r="T7" s="35">
        <v>0</v>
      </c>
      <c r="U7" s="35">
        <f ca="1">ROUND('TUSD BE'!$AM$19,2)</f>
        <v>358.57</v>
      </c>
      <c r="V7" s="35">
        <f>ROUND('TE BE'!$AB$9,2)</f>
        <v>185.13</v>
      </c>
    </row>
    <row r="8" spans="1:22" ht="11.25" customHeight="1" x14ac:dyDescent="0.3">
      <c r="A8" s="105"/>
      <c r="B8" s="105"/>
      <c r="C8" s="105"/>
      <c r="D8" s="37" t="s">
        <v>706</v>
      </c>
      <c r="E8" s="35">
        <f ca="1">ROUND('TUSD BE'!$AM$6+'TUSD BF'!$AM$6+'TUSD CVA'!$AM$6,2)</f>
        <v>29.82</v>
      </c>
      <c r="F8" s="35">
        <f ca="1">ROUND('TUSD BE'!$AM$8+'TUSD BF'!$AM$8+'TUSD CVA'!$AM$8,2)</f>
        <v>1.58</v>
      </c>
      <c r="G8" s="35">
        <v>0</v>
      </c>
      <c r="H8" s="35">
        <f ca="1">ROUND('TUSD BE'!$AM$6,2)</f>
        <v>37.69</v>
      </c>
      <c r="I8" s="35">
        <f ca="1">ROUND('TUSD BE'!$AM$8,2)</f>
        <v>1.58</v>
      </c>
      <c r="J8" s="35">
        <v>0</v>
      </c>
      <c r="L8" s="109"/>
      <c r="M8" s="37" t="s">
        <v>714</v>
      </c>
      <c r="N8" s="37" t="s">
        <v>712</v>
      </c>
      <c r="O8" s="37" t="s">
        <v>712</v>
      </c>
      <c r="P8" s="37" t="s">
        <v>708</v>
      </c>
      <c r="Q8" s="35">
        <v>0</v>
      </c>
      <c r="R8" s="35">
        <f ca="1">ROUND('TUSD BE'!$AM$25+'TUSD BF'!$AM$25+'TUSD CVA'!$AM$25,2)</f>
        <v>448.02</v>
      </c>
      <c r="S8" s="35">
        <f>ROUND('TE BE'!$AB$15+'TE BF'!$AB$15+'TE CVA'!$AB$15,2)</f>
        <v>191.01</v>
      </c>
      <c r="T8" s="35">
        <v>0</v>
      </c>
      <c r="U8" s="35">
        <f ca="1">ROUND('TUSD BE'!$AM$25,2)</f>
        <v>571.48</v>
      </c>
      <c r="V8" s="35">
        <f>ROUND('TE BE'!$AB$15,2)</f>
        <v>185.13</v>
      </c>
    </row>
    <row r="9" spans="1:22" ht="11.25" customHeight="1" x14ac:dyDescent="0.3">
      <c r="A9" s="105"/>
      <c r="B9" s="104" t="s">
        <v>36</v>
      </c>
      <c r="C9" s="104" t="s">
        <v>25</v>
      </c>
      <c r="D9" s="37" t="s">
        <v>708</v>
      </c>
      <c r="E9" s="35">
        <f ca="1">ROUND('TUSD BE'!$AM$10+'TUSD BF'!$AM$10+'TUSD CVA'!$AM$10,2)</f>
        <v>29.82</v>
      </c>
      <c r="F9" s="35">
        <v>0</v>
      </c>
      <c r="G9" s="35">
        <v>0</v>
      </c>
      <c r="H9" s="35">
        <f ca="1">ROUND('TUSD BE'!$AM$10,2)</f>
        <v>37.69</v>
      </c>
      <c r="I9" s="35">
        <v>0</v>
      </c>
      <c r="J9" s="35">
        <v>0</v>
      </c>
      <c r="L9" s="109"/>
      <c r="M9" s="37" t="s">
        <v>716</v>
      </c>
      <c r="N9" s="37" t="s">
        <v>712</v>
      </c>
      <c r="O9" s="37" t="s">
        <v>712</v>
      </c>
      <c r="P9" s="37" t="s">
        <v>708</v>
      </c>
      <c r="Q9" s="35">
        <v>0</v>
      </c>
      <c r="R9" s="35">
        <f ca="1">ROUND('TUSD BE'!$AM$20+'TUSD BF'!$AM$20+'TUSD CVA'!$AM$20,2)</f>
        <v>448.02</v>
      </c>
      <c r="S9" s="35">
        <f>ROUND('TE BE'!$AB$10+'TE BF'!$AB$10+'TE CVA'!$AB$10,2)</f>
        <v>191.01</v>
      </c>
      <c r="T9" s="35">
        <v>0</v>
      </c>
      <c r="U9" s="35">
        <f ca="1">ROUND('TUSD BE'!$AM$20,2)</f>
        <v>571.48</v>
      </c>
      <c r="V9" s="35">
        <f>ROUND('TE BE'!$AB$10,2)</f>
        <v>185.13</v>
      </c>
    </row>
    <row r="10" spans="1:22" ht="11.25" customHeight="1" x14ac:dyDescent="0.3">
      <c r="A10" s="105"/>
      <c r="B10" s="105"/>
      <c r="C10" s="105"/>
      <c r="D10" s="37" t="s">
        <v>705</v>
      </c>
      <c r="E10" s="35">
        <v>0</v>
      </c>
      <c r="F10" s="35">
        <f ca="1">ROUND('TUSD BE'!$AM$11+'TUSD BF'!$AM$11+'TUSD CVA'!$AM$11,2)</f>
        <v>2263.9899999999998</v>
      </c>
      <c r="G10" s="35">
        <f>ROUND('TE BE'!$AB$5+'TE BF'!$AB$5+'TE CVA'!$AB$5,2)</f>
        <v>191.01</v>
      </c>
      <c r="H10" s="35">
        <v>0</v>
      </c>
      <c r="I10" s="35">
        <f ca="1">ROUND('TUSD BE'!$AM$11,2)</f>
        <v>2953.67</v>
      </c>
      <c r="J10" s="35">
        <f>ROUND('TE BE'!$AB$5,2)</f>
        <v>185.13</v>
      </c>
      <c r="L10" s="109"/>
      <c r="M10" s="37" t="s">
        <v>714</v>
      </c>
      <c r="N10" s="37" t="s">
        <v>712</v>
      </c>
      <c r="O10" s="37" t="s">
        <v>715</v>
      </c>
      <c r="P10" s="37" t="s">
        <v>708</v>
      </c>
      <c r="Q10" s="35">
        <v>0</v>
      </c>
      <c r="R10" s="35">
        <f ca="1">ROUND('TUSD BE'!$AM$26+'TUSD BF'!$AM$26+'TUSD CVA'!$AM$26,2)</f>
        <v>346.92</v>
      </c>
      <c r="S10" s="35">
        <f>ROUND('TE BE'!$AB$16+'TE BF'!$AB$16+'TE CVA'!$AB$16,2)</f>
        <v>191.01</v>
      </c>
      <c r="T10" s="35">
        <v>0</v>
      </c>
      <c r="U10" s="35">
        <f ca="1">ROUND('TUSD BE'!$AM$26,2)</f>
        <v>466.46</v>
      </c>
      <c r="V10" s="35">
        <f>ROUND('TE BE'!$AB$16,2)</f>
        <v>185.13</v>
      </c>
    </row>
    <row r="11" spans="1:22" ht="11.25" customHeight="1" x14ac:dyDescent="0.3">
      <c r="A11" s="105"/>
      <c r="B11" s="105"/>
      <c r="C11" s="105"/>
      <c r="D11" s="37" t="s">
        <v>706</v>
      </c>
      <c r="E11" s="35">
        <v>0</v>
      </c>
      <c r="F11" s="35">
        <f ca="1">ROUND('TUSD BE'!$AM$12+'TUSD BF'!$AM$12+'TUSD CVA'!$AM$12,2)</f>
        <v>88.7</v>
      </c>
      <c r="G11" s="35">
        <f>ROUND('TE BE'!$AB$6+'TE BF'!$AB$6+'TE CVA'!$AB$6,2)</f>
        <v>191.01</v>
      </c>
      <c r="H11" s="35">
        <v>0</v>
      </c>
      <c r="I11" s="35">
        <f ca="1">ROUND('TUSD BE'!$AM$12,2)</f>
        <v>92.09</v>
      </c>
      <c r="J11" s="35">
        <f>ROUND('TE BE'!$AB$6,2)</f>
        <v>185.13</v>
      </c>
      <c r="L11" s="110"/>
      <c r="M11" s="37" t="s">
        <v>716</v>
      </c>
      <c r="N11" s="37" t="s">
        <v>712</v>
      </c>
      <c r="O11" s="37" t="s">
        <v>715</v>
      </c>
      <c r="P11" s="37" t="s">
        <v>708</v>
      </c>
      <c r="Q11" s="35">
        <v>0</v>
      </c>
      <c r="R11" s="35">
        <f ca="1">ROUND('TUSD BE'!$AM$21+'TUSD BF'!$AM$21+'TUSD CVA'!$AM$21,2)</f>
        <v>346.92</v>
      </c>
      <c r="S11" s="35">
        <f>ROUND('TE BE'!$AB$11+'TE BF'!$AB$11+'TE CVA'!$AB$11,2)</f>
        <v>191.01</v>
      </c>
      <c r="T11" s="35">
        <v>0</v>
      </c>
      <c r="U11" s="35">
        <f ca="1">ROUND('TUSD BE'!$AM$21,2)</f>
        <v>466.46</v>
      </c>
      <c r="V11" s="35">
        <f>ROUND('TE BE'!$AB$11,2)</f>
        <v>185.13</v>
      </c>
    </row>
    <row r="12" spans="1:22" ht="11.25" customHeight="1" x14ac:dyDescent="0.3">
      <c r="A12" s="105"/>
      <c r="B12" s="104" t="s">
        <v>709</v>
      </c>
      <c r="C12" s="104" t="s">
        <v>25</v>
      </c>
      <c r="D12" s="37" t="s">
        <v>708</v>
      </c>
      <c r="E12" s="35">
        <f ca="1">ROUND('TUSD BE'!$AM$10+'TUSD BF'!$AM$10+'TUSD CVA'!$AM$10,2)</f>
        <v>29.82</v>
      </c>
      <c r="F12" s="35">
        <v>0</v>
      </c>
      <c r="G12" s="35">
        <v>0</v>
      </c>
      <c r="H12" s="35">
        <f ca="1">ROUND('TUSD BE'!$AM$10,2)</f>
        <v>37.69</v>
      </c>
      <c r="I12" s="35">
        <v>0</v>
      </c>
      <c r="J12" s="35">
        <v>0</v>
      </c>
      <c r="L12" s="108" t="s">
        <v>42</v>
      </c>
      <c r="M12" s="108" t="s">
        <v>711</v>
      </c>
      <c r="N12" s="108" t="s">
        <v>717</v>
      </c>
      <c r="O12" s="108" t="s">
        <v>718</v>
      </c>
      <c r="P12" s="37" t="s">
        <v>705</v>
      </c>
      <c r="Q12" s="35">
        <v>0</v>
      </c>
      <c r="R12" s="35">
        <f ca="1">ROUND(('TUSD BE'!$AM$30+'TUSD BF'!$AM$30+'TUSD CVA'!$AM$30)*(1-CUSTOS!$M$38),2)</f>
        <v>1050.79</v>
      </c>
      <c r="S12" s="35">
        <f>ROUND(('TE BE'!$AB$20+'TE BF'!$AB$20+'TE CVA'!$AB$20)*(1-CUSTOS!$M$38),2)</f>
        <v>179.55</v>
      </c>
      <c r="T12" s="35">
        <v>0</v>
      </c>
      <c r="U12" s="35">
        <f ca="1">ROUND('TUSD BE'!$AM$30*(1-CUSTOS!$M$38),2)</f>
        <v>1385.95</v>
      </c>
      <c r="V12" s="35">
        <f>ROUND('TE BE'!$AB$20*(1-CUSTOS!$M$38),2)</f>
        <v>174.02</v>
      </c>
    </row>
    <row r="13" spans="1:22" ht="11.25" customHeight="1" x14ac:dyDescent="0.3">
      <c r="A13" s="105"/>
      <c r="B13" s="105"/>
      <c r="C13" s="105"/>
      <c r="D13" s="37" t="s">
        <v>705</v>
      </c>
      <c r="E13" s="35">
        <v>0</v>
      </c>
      <c r="F13" s="35">
        <f ca="1">ROUND('TUSD BE'!$AM$13+'TUSD BF'!$AM$13+'TUSD CVA'!$AM$13,2)</f>
        <v>2176.88</v>
      </c>
      <c r="G13" s="35">
        <v>0</v>
      </c>
      <c r="H13" s="35">
        <v>0</v>
      </c>
      <c r="I13" s="35">
        <f ca="1">ROUND('TUSD BE'!$AM$13,2)</f>
        <v>2863.16</v>
      </c>
      <c r="J13" s="35">
        <v>0</v>
      </c>
      <c r="L13" s="109"/>
      <c r="M13" s="109"/>
      <c r="N13" s="109"/>
      <c r="O13" s="109"/>
      <c r="P13" s="37" t="s">
        <v>713</v>
      </c>
      <c r="Q13" s="35">
        <v>0</v>
      </c>
      <c r="R13" s="35">
        <f ca="1">ROUND(('TUSD BE'!$AM$31+'TUSD BF'!$AM$31+'TUSD CVA'!$AM$31)*(1-CUSTOS!$M$38),2)</f>
        <v>669.75</v>
      </c>
      <c r="S13" s="35">
        <f>ROUND(('TE BE'!$AB$21+'TE BF'!$AB$21+'TE CVA'!$AB$21)*(1-CUSTOS!$M$38),2)</f>
        <v>179.55</v>
      </c>
      <c r="T13" s="35">
        <v>0</v>
      </c>
      <c r="U13" s="35">
        <f ca="1">ROUND('TUSD BE'!$AM$31*(1-CUSTOS!$M$38),2)</f>
        <v>872.32</v>
      </c>
      <c r="V13" s="35">
        <f>ROUND('TE BE'!$AB$21*(1-CUSTOS!$M$38),2)</f>
        <v>174.02</v>
      </c>
    </row>
    <row r="14" spans="1:22" ht="11.25" customHeight="1" x14ac:dyDescent="0.3">
      <c r="A14" s="105"/>
      <c r="B14" s="105"/>
      <c r="C14" s="105"/>
      <c r="D14" s="37" t="s">
        <v>706</v>
      </c>
      <c r="E14" s="35">
        <v>0</v>
      </c>
      <c r="F14" s="35">
        <f ca="1">ROUND('TUSD BE'!$AM$14+'TUSD BF'!$AM$14+'TUSD CVA'!$AM$14,2)</f>
        <v>1.58</v>
      </c>
      <c r="G14" s="35">
        <v>0</v>
      </c>
      <c r="H14" s="35">
        <v>0</v>
      </c>
      <c r="I14" s="35">
        <f ca="1">ROUND('TUSD BE'!$AM$14,2)</f>
        <v>1.58</v>
      </c>
      <c r="J14" s="35">
        <v>0</v>
      </c>
      <c r="L14" s="109"/>
      <c r="M14" s="110"/>
      <c r="N14" s="110"/>
      <c r="O14" s="110"/>
      <c r="P14" s="37" t="s">
        <v>706</v>
      </c>
      <c r="Q14" s="35">
        <v>0</v>
      </c>
      <c r="R14" s="35">
        <f ca="1">ROUND(('TUSD BE'!$AM$32+'TUSD BF'!$AM$32+'TUSD CVA'!$AM$32)*(1-CUSTOS!$M$38),2)</f>
        <v>288.70999999999998</v>
      </c>
      <c r="S14" s="35">
        <f>ROUND(('TE BE'!$AB$22+'TE BF'!$AB$22+'TE CVA'!$AB$22)*(1-CUSTOS!$M$38),2)</f>
        <v>179.55</v>
      </c>
      <c r="T14" s="35">
        <v>0</v>
      </c>
      <c r="U14" s="35">
        <f ca="1">ROUND('TUSD BE'!$AM$32*(1-CUSTOS!$M$38),2)</f>
        <v>358.69</v>
      </c>
      <c r="V14" s="35">
        <f>ROUND('TE BE'!$AB$22*(1-CUSTOS!$M$38),2)</f>
        <v>174.02</v>
      </c>
    </row>
    <row r="15" spans="1:22" ht="11.25" customHeight="1" x14ac:dyDescent="0.3">
      <c r="A15" s="105"/>
      <c r="B15" s="37" t="s">
        <v>81</v>
      </c>
      <c r="C15" s="37" t="s">
        <v>25</v>
      </c>
      <c r="D15" s="37" t="s">
        <v>708</v>
      </c>
      <c r="E15" s="35">
        <f ca="1">ROUND('TUSD BE'!$AM$9+'TUSD BF'!$AM$9+'TUSD CVA'!$AM$9,2)</f>
        <v>6.83</v>
      </c>
      <c r="F15" s="35">
        <v>0</v>
      </c>
      <c r="G15" s="35">
        <v>0</v>
      </c>
      <c r="H15" s="35">
        <f ca="1">ROUND('TUSD BE'!$AM$9,2)</f>
        <v>10.55</v>
      </c>
      <c r="I15" s="35">
        <v>0</v>
      </c>
      <c r="J15" s="35">
        <v>0</v>
      </c>
      <c r="L15" s="109"/>
      <c r="M15" s="37" t="s">
        <v>714</v>
      </c>
      <c r="N15" s="37" t="s">
        <v>717</v>
      </c>
      <c r="O15" s="37" t="s">
        <v>718</v>
      </c>
      <c r="P15" s="37" t="s">
        <v>708</v>
      </c>
      <c r="Q15" s="35">
        <v>0</v>
      </c>
      <c r="R15" s="35">
        <f ca="1">ROUND(('TUSD BE'!$AM$42+'TUSD BF'!$AM$42+'TUSD CVA'!$AM$42)*(1-CUSTOS!$M$38),2)</f>
        <v>421.14</v>
      </c>
      <c r="S15" s="35">
        <f>ROUND(('TE BE'!$AB$32+'TE BF'!$AB$32+'TE CVA'!$AB$32)*(1-CUSTOS!$M$38),2)</f>
        <v>179.55</v>
      </c>
      <c r="T15" s="35">
        <v>0</v>
      </c>
      <c r="U15" s="35">
        <f ca="1">ROUND(('TUSD BE'!$AM$42)*(1-CUSTOS!$M$38),2)</f>
        <v>537.19000000000005</v>
      </c>
      <c r="V15" s="35">
        <f>ROUND(('TE BE'!$AB$32)*(1-CUSTOS!$M$38),2)</f>
        <v>174.02</v>
      </c>
    </row>
    <row r="16" spans="1:22" ht="11.25" customHeight="1" x14ac:dyDescent="0.3">
      <c r="L16" s="109"/>
      <c r="M16" s="37" t="s">
        <v>716</v>
      </c>
      <c r="N16" s="37" t="s">
        <v>717</v>
      </c>
      <c r="O16" s="37" t="s">
        <v>718</v>
      </c>
      <c r="P16" s="37" t="s">
        <v>708</v>
      </c>
      <c r="Q16" s="35">
        <v>0</v>
      </c>
      <c r="R16" s="35">
        <f ca="1">ROUND(('TUSD BE'!$AM$33+'TUSD BF'!$AM$33+'TUSD CVA'!$AM$33)*(1-CUSTOS!$M$38),2)</f>
        <v>421.14</v>
      </c>
      <c r="S16" s="35">
        <f>ROUND(('TE BE'!$AB$23+'TE BF'!$AB$23+'TE CVA'!$AB$23)*(1-CUSTOS!$M$38),2)</f>
        <v>179.55</v>
      </c>
      <c r="T16" s="35">
        <v>0</v>
      </c>
      <c r="U16" s="35">
        <f ca="1">ROUND(('TUSD BE'!$AM$33)*(1-CUSTOS!$M$38),2)</f>
        <v>537.19000000000005</v>
      </c>
      <c r="V16" s="35">
        <f>ROUND(('TE BE'!$AB$23)*(1-CUSTOS!$M$38),2)</f>
        <v>174.02</v>
      </c>
    </row>
    <row r="17" spans="12:22" ht="11.25" customHeight="1" x14ac:dyDescent="0.3">
      <c r="L17" s="109"/>
      <c r="M17" s="108" t="s">
        <v>711</v>
      </c>
      <c r="N17" s="108" t="s">
        <v>717</v>
      </c>
      <c r="O17" s="108" t="s">
        <v>719</v>
      </c>
      <c r="P17" s="37" t="s">
        <v>705</v>
      </c>
      <c r="Q17" s="35">
        <v>0</v>
      </c>
      <c r="R17" s="35">
        <f ca="1">ROUND(('TUSD BE'!$AM$34+'TUSD BF'!$AM$34+'TUSD CVA'!$AM$34)*(1-CUSTOS!$M$39),2)</f>
        <v>1050.79</v>
      </c>
      <c r="S17" s="35">
        <f>ROUND(('TE BE'!$AB$24+'TE BF'!$AB$24+'TE CVA'!$AB$24)*(1-CUSTOS!$M$39),2)</f>
        <v>179.55</v>
      </c>
      <c r="T17" s="35">
        <v>0</v>
      </c>
      <c r="U17" s="35">
        <f ca="1">ROUND('TUSD BE'!$AM$34*(1-CUSTOS!$M$39),2)</f>
        <v>1385.95</v>
      </c>
      <c r="V17" s="35">
        <f>ROUND('TE BE'!$AB$24*(1-CUSTOS!$M$39),2)</f>
        <v>174.02</v>
      </c>
    </row>
    <row r="18" spans="12:22" ht="11.25" customHeight="1" x14ac:dyDescent="0.3">
      <c r="L18" s="109"/>
      <c r="M18" s="109"/>
      <c r="N18" s="109"/>
      <c r="O18" s="109"/>
      <c r="P18" s="37" t="s">
        <v>713</v>
      </c>
      <c r="Q18" s="35">
        <v>0</v>
      </c>
      <c r="R18" s="35">
        <f ca="1">ROUND(('TUSD BE'!$AM$35+'TUSD BF'!$AM$35+'TUSD CVA'!$AM$35)*(1-CUSTOS!$M$39),2)</f>
        <v>669.75</v>
      </c>
      <c r="S18" s="35">
        <f>ROUND(('TE BE'!$AB$25+'TE BF'!$AB$25+'TE CVA'!$AB$25)*(1-CUSTOS!$M$39),2)</f>
        <v>179.55</v>
      </c>
      <c r="T18" s="35">
        <v>0</v>
      </c>
      <c r="U18" s="35">
        <f ca="1">ROUND('TUSD BE'!$AM$35*(1-CUSTOS!$M$39),2)</f>
        <v>872.32</v>
      </c>
      <c r="V18" s="35">
        <f>ROUND('TE BE'!$AB$25*(1-CUSTOS!$M$39),2)</f>
        <v>174.02</v>
      </c>
    </row>
    <row r="19" spans="12:22" ht="11.25" customHeight="1" x14ac:dyDescent="0.3">
      <c r="L19" s="109"/>
      <c r="M19" s="110"/>
      <c r="N19" s="110"/>
      <c r="O19" s="110"/>
      <c r="P19" s="37" t="s">
        <v>706</v>
      </c>
      <c r="Q19" s="35">
        <v>0</v>
      </c>
      <c r="R19" s="35">
        <f ca="1">ROUND(('TUSD BE'!$AM$36+'TUSD BF'!$AM$36+'TUSD CVA'!$AM$36)*(1-CUSTOS!$M$39),2)</f>
        <v>288.70999999999998</v>
      </c>
      <c r="S19" s="35">
        <f>ROUND(('TE BE'!$AB$26+'TE BF'!$AB$26+'TE CVA'!$AB$26)*(1-CUSTOS!$M$39),2)</f>
        <v>179.55</v>
      </c>
      <c r="T19" s="35">
        <v>0</v>
      </c>
      <c r="U19" s="35">
        <f ca="1">ROUND('TUSD BE'!$AM$36*(1-CUSTOS!$M$39),2)</f>
        <v>358.69</v>
      </c>
      <c r="V19" s="35">
        <f>ROUND('TE BE'!$AB$26*(1-CUSTOS!$M$39),2)</f>
        <v>174.02</v>
      </c>
    </row>
    <row r="20" spans="12:22" ht="11.25" customHeight="1" x14ac:dyDescent="0.3">
      <c r="L20" s="109"/>
      <c r="M20" s="37" t="s">
        <v>714</v>
      </c>
      <c r="N20" s="37" t="s">
        <v>717</v>
      </c>
      <c r="O20" s="37" t="s">
        <v>719</v>
      </c>
      <c r="P20" s="37" t="s">
        <v>708</v>
      </c>
      <c r="Q20" s="35">
        <v>0</v>
      </c>
      <c r="R20" s="35">
        <f ca="1">ROUND(('TUSD BE'!$AM$42+'TUSD BF'!$AM$42+'TUSD CVA'!$AM$42)*(1-CUSTOS!$M$39),2)</f>
        <v>421.14</v>
      </c>
      <c r="S20" s="35">
        <f>ROUND(('TE BE'!$AB$32+'TE BF'!$AB$32+'TE CVA'!$AB$32)*(1-CUSTOS!$M$39),2)</f>
        <v>179.55</v>
      </c>
      <c r="T20" s="35">
        <v>0</v>
      </c>
      <c r="U20" s="35">
        <f ca="1">ROUND(('TUSD BE'!$AM$42)*(1-CUSTOS!$M$39),2)</f>
        <v>537.19000000000005</v>
      </c>
      <c r="V20" s="35">
        <f>ROUND(('TE BE'!$AB$32)*(1-CUSTOS!$M$39),2)</f>
        <v>174.02</v>
      </c>
    </row>
    <row r="21" spans="12:22" ht="11.25" customHeight="1" x14ac:dyDescent="0.3">
      <c r="L21" s="109"/>
      <c r="M21" s="37" t="s">
        <v>716</v>
      </c>
      <c r="N21" s="37" t="s">
        <v>717</v>
      </c>
      <c r="O21" s="37" t="s">
        <v>719</v>
      </c>
      <c r="P21" s="37" t="s">
        <v>708</v>
      </c>
      <c r="Q21" s="35">
        <v>0</v>
      </c>
      <c r="R21" s="35">
        <f ca="1">ROUND(('TUSD BE'!$AM$33+'TUSD BF'!$AM$33+'TUSD CVA'!$AM$33)*(1-CUSTOS!$M$39),2)</f>
        <v>421.14</v>
      </c>
      <c r="S21" s="35">
        <f>ROUND(('TE BE'!$AB$23+'TE BF'!$AB$23+'TE CVA'!$AB$23)*(1-CUSTOS!$M$39),2)</f>
        <v>179.55</v>
      </c>
      <c r="T21" s="35">
        <v>0</v>
      </c>
      <c r="U21" s="35">
        <f ca="1">ROUND(('TUSD BE'!$AM$33)*(1-CUSTOS!$M$39),2)</f>
        <v>537.19000000000005</v>
      </c>
      <c r="V21" s="35">
        <f>ROUND(('TE BE'!$AB$23)*(1-CUSTOS!$M$39),2)</f>
        <v>174.02</v>
      </c>
    </row>
    <row r="22" spans="12:22" ht="11.25" customHeight="1" x14ac:dyDescent="0.3">
      <c r="L22" s="109"/>
      <c r="M22" s="108" t="s">
        <v>711</v>
      </c>
      <c r="N22" s="108" t="s">
        <v>717</v>
      </c>
      <c r="O22" s="108" t="s">
        <v>720</v>
      </c>
      <c r="P22" s="37" t="s">
        <v>705</v>
      </c>
      <c r="Q22" s="35">
        <v>0</v>
      </c>
      <c r="R22" s="35">
        <f ca="1">ROUND(('TUSD BE'!$AM$38+'TUSD BF'!$AM$38+'TUSD CVA'!$AM$38)*(1-CUSTOS!$M$40),2)</f>
        <v>1028.43</v>
      </c>
      <c r="S22" s="35">
        <f>ROUND(('TE BE'!$AB$28+'TE BF'!$AB$28+'TE CVA'!$AB$28)*(1-CUSTOS!$M$40),2)</f>
        <v>175.73</v>
      </c>
      <c r="T22" s="35">
        <v>0</v>
      </c>
      <c r="U22" s="35">
        <f ca="1">ROUND('TUSD BE'!$AM$38*(1-CUSTOS!$M$40),2)</f>
        <v>1356.46</v>
      </c>
      <c r="V22" s="35">
        <f>ROUND('TE BE'!$AB$28*(1-CUSTOS!$M$40),2)</f>
        <v>170.32</v>
      </c>
    </row>
    <row r="23" spans="12:22" ht="11.25" customHeight="1" x14ac:dyDescent="0.3">
      <c r="L23" s="109"/>
      <c r="M23" s="109"/>
      <c r="N23" s="109"/>
      <c r="O23" s="109"/>
      <c r="P23" s="37" t="s">
        <v>713</v>
      </c>
      <c r="Q23" s="35">
        <v>0</v>
      </c>
      <c r="R23" s="35">
        <f ca="1">ROUND(('TUSD BE'!$AM$39+'TUSD BF'!$AM$39+'TUSD CVA'!$AM$39)*(1-CUSTOS!$M$40),2)</f>
        <v>655.5</v>
      </c>
      <c r="S23" s="35">
        <f>ROUND(('TE BE'!$AB$29+'TE BF'!$AB$29+'TE CVA'!$AB$29)*(1-CUSTOS!$M$40),2)</f>
        <v>175.73</v>
      </c>
      <c r="T23" s="35">
        <v>0</v>
      </c>
      <c r="U23" s="35">
        <f ca="1">ROUND('TUSD BE'!$AM$39*(1-CUSTOS!$M$40),2)</f>
        <v>853.76</v>
      </c>
      <c r="V23" s="35">
        <f>ROUND('TE BE'!$AB$29*(1-CUSTOS!$M$40),2)</f>
        <v>170.32</v>
      </c>
    </row>
    <row r="24" spans="12:22" ht="11.25" customHeight="1" x14ac:dyDescent="0.3">
      <c r="L24" s="109"/>
      <c r="M24" s="110"/>
      <c r="N24" s="110"/>
      <c r="O24" s="110"/>
      <c r="P24" s="37" t="s">
        <v>706</v>
      </c>
      <c r="Q24" s="35">
        <v>0</v>
      </c>
      <c r="R24" s="35">
        <f ca="1">ROUND(('TUSD BE'!$AM$40+'TUSD BF'!$AM$40+'TUSD CVA'!$AM$40)*(1-CUSTOS!$M$40),2)</f>
        <v>282.57</v>
      </c>
      <c r="S24" s="35">
        <f>ROUND(('TE BE'!$AB$30+'TE BF'!$AB$30+'TE CVA'!$AB$30)*(1-CUSTOS!$M$40),2)</f>
        <v>175.73</v>
      </c>
      <c r="T24" s="35">
        <v>0</v>
      </c>
      <c r="U24" s="35">
        <f ca="1">ROUND('TUSD BE'!$AM$40*(1-CUSTOS!$M$40),2)</f>
        <v>351.06</v>
      </c>
      <c r="V24" s="35">
        <f>ROUND('TE BE'!$AB$30*(1-CUSTOS!$M$40),2)</f>
        <v>170.32</v>
      </c>
    </row>
    <row r="25" spans="12:22" ht="11.25" customHeight="1" x14ac:dyDescent="0.3">
      <c r="L25" s="109"/>
      <c r="M25" s="37" t="s">
        <v>714</v>
      </c>
      <c r="N25" s="37" t="s">
        <v>717</v>
      </c>
      <c r="O25" s="37" t="s">
        <v>720</v>
      </c>
      <c r="P25" s="37" t="s">
        <v>708</v>
      </c>
      <c r="Q25" s="35">
        <v>0</v>
      </c>
      <c r="R25" s="35">
        <f ca="1">ROUND(('TUSD BE'!$AM$42+'TUSD BF'!$AM$42+'TUSD CVA'!$AM$42)*(1-CUSTOS!$M$40),2)</f>
        <v>412.18</v>
      </c>
      <c r="S25" s="35">
        <f>ROUND(('TE BE'!$AB$32+'TE BF'!$AB$32+'TE CVA'!$AB$32)*(1-CUSTOS!$M$40),2)</f>
        <v>175.73</v>
      </c>
      <c r="T25" s="35">
        <v>0</v>
      </c>
      <c r="U25" s="35">
        <f ca="1">ROUND(('TUSD BE'!$AM$42)*(1-CUSTOS!$M$40),2)</f>
        <v>525.76</v>
      </c>
      <c r="V25" s="35">
        <f>ROUND(('TE BE'!$AB$32)*(1-CUSTOS!$M$40),2)</f>
        <v>170.32</v>
      </c>
    </row>
    <row r="26" spans="12:22" ht="11.25" customHeight="1" x14ac:dyDescent="0.3">
      <c r="L26" s="110"/>
      <c r="M26" s="37" t="s">
        <v>716</v>
      </c>
      <c r="N26" s="37" t="s">
        <v>717</v>
      </c>
      <c r="O26" s="37" t="s">
        <v>720</v>
      </c>
      <c r="P26" s="37" t="s">
        <v>708</v>
      </c>
      <c r="Q26" s="35">
        <v>0</v>
      </c>
      <c r="R26" s="35">
        <f ca="1">ROUND(('TUSD BE'!$AM$33+'TUSD BF'!$AM$33+'TUSD CVA'!$AM$33)*(1-CUSTOS!$M$40),2)</f>
        <v>412.18</v>
      </c>
      <c r="S26" s="35">
        <f>ROUND(('TE BE'!$AB$23+'TE BF'!$AB$23+'TE CVA'!$AB$23)*(1-CUSTOS!$M$40),2)</f>
        <v>175.73</v>
      </c>
      <c r="T26" s="35">
        <v>0</v>
      </c>
      <c r="U26" s="35">
        <f ca="1">ROUND(('TUSD BE'!$AM$33)*(1-CUSTOS!$M$40),2)</f>
        <v>525.76</v>
      </c>
      <c r="V26" s="35">
        <f>ROUND(('TE BE'!$AB$23)*(1-CUSTOS!$M$40),2)</f>
        <v>170.32</v>
      </c>
    </row>
    <row r="27" spans="12:22" ht="11.25" customHeight="1" x14ac:dyDescent="0.3">
      <c r="L27" s="108" t="s">
        <v>33</v>
      </c>
      <c r="M27" s="108" t="s">
        <v>711</v>
      </c>
      <c r="N27" s="108" t="s">
        <v>708</v>
      </c>
      <c r="O27" s="108" t="s">
        <v>708</v>
      </c>
      <c r="P27" s="37" t="s">
        <v>705</v>
      </c>
      <c r="Q27" s="35">
        <v>0</v>
      </c>
      <c r="R27" s="35">
        <f ca="1">ROUND(('TUSD BE'!$AM$45+'TUSD BF'!$AM$45+'TUSD CVA'!$AM$45)*(1-CUSTOS!$M$31),2)</f>
        <v>1289.7</v>
      </c>
      <c r="S27" s="35">
        <f>ROUND(('TE BE'!$AB$35+'TE BF'!$AB$35+'TE CVA'!$AB$35)*(1-CUSTOS!$M$31),2)</f>
        <v>191.01</v>
      </c>
      <c r="T27" s="35">
        <v>0</v>
      </c>
      <c r="U27" s="35">
        <f ca="1">ROUND('TUSD BE'!$AM$45*(1-CUSTOS!$M$31),2)</f>
        <v>1706.02</v>
      </c>
      <c r="V27" s="35">
        <f>ROUND('TE BE'!$AB$35*(1-CUSTOS!$M$31),2)</f>
        <v>185.13</v>
      </c>
    </row>
    <row r="28" spans="12:22" ht="11.25" customHeight="1" x14ac:dyDescent="0.3">
      <c r="L28" s="109"/>
      <c r="M28" s="109"/>
      <c r="N28" s="109"/>
      <c r="O28" s="109"/>
      <c r="P28" s="37" t="s">
        <v>713</v>
      </c>
      <c r="Q28" s="35">
        <v>0</v>
      </c>
      <c r="R28" s="35">
        <f ca="1">ROUND(('TUSD BE'!$AM$46+'TUSD BF'!$AM$46+'TUSD CVA'!$AM$46)*(1-CUSTOS!$M$31),2)</f>
        <v>815.58</v>
      </c>
      <c r="S28" s="35">
        <f>ROUND(('TE BE'!$AB$36+'TE BF'!$AB$36+'TE CVA'!$AB$36)*(1-CUSTOS!$M$31),2)</f>
        <v>191.01</v>
      </c>
      <c r="T28" s="35">
        <v>0</v>
      </c>
      <c r="U28" s="35">
        <f ca="1">ROUND('TUSD BE'!$AM$46*(1-CUSTOS!$M$31),2)</f>
        <v>1066.94</v>
      </c>
      <c r="V28" s="35">
        <f>ROUND('TE BE'!$AB$36*(1-CUSTOS!$M$31),2)</f>
        <v>185.13</v>
      </c>
    </row>
    <row r="29" spans="12:22" ht="11.25" customHeight="1" x14ac:dyDescent="0.3">
      <c r="L29" s="109"/>
      <c r="M29" s="110"/>
      <c r="N29" s="110"/>
      <c r="O29" s="110"/>
      <c r="P29" s="37" t="s">
        <v>706</v>
      </c>
      <c r="Q29" s="35">
        <v>0</v>
      </c>
      <c r="R29" s="35">
        <f ca="1">ROUND(('TUSD BE'!$AM$47+'TUSD BF'!$AM$47+'TUSD CVA'!$AM$47)*(1-CUSTOS!$M$31),2)</f>
        <v>341.52</v>
      </c>
      <c r="S29" s="35">
        <f>ROUND(('TE BE'!$AB$37+'TE BF'!$AB$37+'TE CVA'!$AB$37)*(1-CUSTOS!$M$31),2)</f>
        <v>191.01</v>
      </c>
      <c r="T29" s="35">
        <v>0</v>
      </c>
      <c r="U29" s="35">
        <f ca="1">ROUND('TUSD BE'!$AM$47*(1-CUSTOS!$M$31),2)</f>
        <v>427.92</v>
      </c>
      <c r="V29" s="35">
        <f>ROUND('TE BE'!$AB$37*(1-CUSTOS!$M$31),2)</f>
        <v>185.13</v>
      </c>
    </row>
    <row r="30" spans="12:22" ht="11.25" customHeight="1" x14ac:dyDescent="0.3">
      <c r="L30" s="109"/>
      <c r="M30" s="37" t="s">
        <v>714</v>
      </c>
      <c r="N30" s="37" t="s">
        <v>708</v>
      </c>
      <c r="O30" s="37" t="s">
        <v>708</v>
      </c>
      <c r="P30" s="37" t="s">
        <v>708</v>
      </c>
      <c r="Q30" s="35">
        <v>0</v>
      </c>
      <c r="R30" s="35">
        <f ca="1">ROUND(('TUSD BE'!$AM$49+'TUSD BF'!$AM$49+'TUSD CVA'!$AM$49)*(1-CUSTOS!$M$31),2)</f>
        <v>448.02</v>
      </c>
      <c r="S30" s="35">
        <f>ROUND(('TE BE'!$AB$39+'TE BF'!$AB$39+'TE CVA'!$AB$39)*(1-CUSTOS!$M$31),2)</f>
        <v>191.01</v>
      </c>
      <c r="T30" s="35">
        <v>0</v>
      </c>
      <c r="U30" s="35">
        <f ca="1">ROUND(('TUSD BE'!$AM$49)*(1-CUSTOS!$M$31),2)</f>
        <v>571.48</v>
      </c>
      <c r="V30" s="35">
        <f>ROUND(('TE BE'!$AB$39)*(1-CUSTOS!$M$31),2)</f>
        <v>185.13</v>
      </c>
    </row>
    <row r="31" spans="12:22" ht="11.25" customHeight="1" x14ac:dyDescent="0.3">
      <c r="L31" s="110"/>
      <c r="M31" s="37" t="s">
        <v>716</v>
      </c>
      <c r="N31" s="37" t="s">
        <v>708</v>
      </c>
      <c r="O31" s="37" t="s">
        <v>708</v>
      </c>
      <c r="P31" s="37" t="s">
        <v>708</v>
      </c>
      <c r="Q31" s="35">
        <v>0</v>
      </c>
      <c r="R31" s="35">
        <f ca="1">ROUND(('TUSD BE'!$AM$48+'TUSD BF'!$AM$48+'TUSD CVA'!$AM$48)*(1-CUSTOS!$M$31),2)</f>
        <v>448.02</v>
      </c>
      <c r="S31" s="35">
        <f>ROUND(('TE BE'!$AB$38+'TE BF'!$AB$38+'TE CVA'!$AB$38)*(1-CUSTOS!$M$31),2)</f>
        <v>191.01</v>
      </c>
      <c r="T31" s="35">
        <v>0</v>
      </c>
      <c r="U31" s="35">
        <f ca="1">ROUND(('TUSD BE'!$AM$48)*(1-CUSTOS!$M$31),2)</f>
        <v>571.48</v>
      </c>
      <c r="V31" s="35">
        <f>ROUND(('TE BE'!$AB$38)*(1-CUSTOS!$M$31),2)</f>
        <v>185.13</v>
      </c>
    </row>
    <row r="32" spans="12:22" ht="11.25" customHeight="1" x14ac:dyDescent="0.3">
      <c r="L32" s="108" t="s">
        <v>45</v>
      </c>
      <c r="M32" s="108" t="s">
        <v>716</v>
      </c>
      <c r="N32" s="108" t="s">
        <v>721</v>
      </c>
      <c r="O32" s="37" t="s">
        <v>722</v>
      </c>
      <c r="P32" s="37" t="s">
        <v>708</v>
      </c>
      <c r="Q32" s="35">
        <v>0</v>
      </c>
      <c r="R32" s="35">
        <f ca="1">ROUND(('TUSD BE'!$AM$50+'TUSD BF'!$AM$50+'TUSD CVA'!$AM$50),2)</f>
        <v>246.41</v>
      </c>
      <c r="S32" s="35">
        <f>ROUND(('TE BE'!$AB$40+'TE BF'!$AB$40+'TE CVA'!$AB$40),2)</f>
        <v>105.05</v>
      </c>
      <c r="T32" s="35">
        <v>0</v>
      </c>
      <c r="U32" s="35">
        <f ca="1">ROUND(('TUSD BE'!$AM$50),2)</f>
        <v>314.31</v>
      </c>
      <c r="V32" s="35">
        <f>ROUND(('TE BE'!$AB$40),2)</f>
        <v>101.82</v>
      </c>
    </row>
    <row r="33" spans="12:22" ht="11.25" customHeight="1" x14ac:dyDescent="0.3">
      <c r="L33" s="110"/>
      <c r="M33" s="110"/>
      <c r="N33" s="110"/>
      <c r="O33" s="37" t="s">
        <v>723</v>
      </c>
      <c r="P33" s="37" t="s">
        <v>708</v>
      </c>
      <c r="Q33" s="35">
        <v>0</v>
      </c>
      <c r="R33" s="35">
        <f ca="1">ROUND(('TUSD BE'!$AM$51+'TUSD BF'!$AM$51+'TUSD CVA'!$AM$51),2)</f>
        <v>268.81</v>
      </c>
      <c r="S33" s="35">
        <f>ROUND(('TE BE'!$AB$41+'TE BF'!$AB$41+'TE CVA'!$AB$41),2)</f>
        <v>114.6</v>
      </c>
      <c r="T33" s="35">
        <v>0</v>
      </c>
      <c r="U33" s="35">
        <f ca="1">ROUND(('TUSD BE'!$AM$51),2)</f>
        <v>342.89</v>
      </c>
      <c r="V33" s="35">
        <f>ROUND(('TE BE'!$AB$41),2)</f>
        <v>111.08</v>
      </c>
    </row>
    <row r="34" spans="12:22" ht="11.25" customHeight="1" x14ac:dyDescent="0.3">
      <c r="L34" s="108" t="s">
        <v>82</v>
      </c>
      <c r="M34" s="108" t="s">
        <v>724</v>
      </c>
      <c r="N34" s="37" t="s">
        <v>83</v>
      </c>
      <c r="O34" s="37" t="s">
        <v>708</v>
      </c>
      <c r="P34" s="37" t="s">
        <v>708</v>
      </c>
      <c r="Q34" s="35">
        <f ca="1">ROUND(('TUSD BE'!$AM$15+'TUSD BF'!$AM$15+'TUSD CVA'!$AM$15),2)</f>
        <v>7.05</v>
      </c>
      <c r="R34" s="35">
        <v>0</v>
      </c>
      <c r="S34" s="35">
        <v>0</v>
      </c>
      <c r="T34" s="35">
        <f ca="1">ROUND(('TUSD BE'!$AM$15),2)</f>
        <v>10.88</v>
      </c>
      <c r="U34" s="35">
        <v>0</v>
      </c>
      <c r="V34" s="35">
        <v>0</v>
      </c>
    </row>
    <row r="35" spans="12:22" ht="11.25" customHeight="1" x14ac:dyDescent="0.3">
      <c r="L35" s="110"/>
      <c r="M35" s="110"/>
      <c r="N35" s="37" t="s">
        <v>84</v>
      </c>
      <c r="O35" s="37" t="s">
        <v>708</v>
      </c>
      <c r="P35" s="37" t="s">
        <v>708</v>
      </c>
      <c r="Q35" s="35">
        <f ca="1">ROUND(('TUSD BE'!$AM$16+'TUSD BF'!$AM$16+'TUSD CVA'!$AM$16),2)</f>
        <v>14.32</v>
      </c>
      <c r="R35" s="35">
        <v>0</v>
      </c>
      <c r="S35" s="35">
        <v>0</v>
      </c>
      <c r="T35" s="35">
        <f ca="1">ROUND(('TUSD BE'!$AM$16),2)</f>
        <v>22.12</v>
      </c>
      <c r="U35" s="35">
        <v>0</v>
      </c>
      <c r="V35" s="35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F178-0861-4918-9CA8-F6F477461EB0}">
  <dimension ref="A1:AN391"/>
  <sheetViews>
    <sheetView showGridLines="0" workbookViewId="0">
      <selection sqref="A1:O391 Q1:AJ13"/>
    </sheetView>
  </sheetViews>
  <sheetFormatPr defaultColWidth="8.88671875" defaultRowHeight="11.25" customHeight="1" x14ac:dyDescent="0.3"/>
  <cols>
    <col min="1" max="1" width="19.109375" style="3" bestFit="1" customWidth="1"/>
    <col min="2" max="2" width="8.6640625" style="3" bestFit="1" customWidth="1"/>
    <col min="3" max="3" width="10.33203125" style="3" bestFit="1" customWidth="1"/>
    <col min="4" max="4" width="13.5546875" style="3" bestFit="1" customWidth="1"/>
    <col min="5" max="5" width="25.109375" style="3" bestFit="1" customWidth="1"/>
    <col min="6" max="6" width="12.88671875" style="3" bestFit="1" customWidth="1"/>
    <col min="7" max="8" width="10.33203125" style="3" bestFit="1" customWidth="1"/>
    <col min="9" max="9" width="8.6640625" style="6" bestFit="1" customWidth="1"/>
    <col min="10" max="10" width="10.109375" style="4" bestFit="1" customWidth="1"/>
    <col min="11" max="11" width="10.5546875" style="4" bestFit="1" customWidth="1"/>
    <col min="12" max="12" width="9.44140625" style="4" bestFit="1" customWidth="1"/>
    <col min="13" max="13" width="13.6640625" style="4" bestFit="1" customWidth="1"/>
    <col min="14" max="14" width="14.109375" style="4" bestFit="1" customWidth="1"/>
    <col min="15" max="15" width="12.88671875" style="4" bestFit="1" customWidth="1"/>
    <col min="16" max="16" width="7" style="4" bestFit="1" customWidth="1"/>
    <col min="17" max="17" width="9.33203125" style="3" bestFit="1" customWidth="1"/>
    <col min="18" max="18" width="18.88671875" style="3" bestFit="1" customWidth="1"/>
    <col min="19" max="19" width="20.33203125" style="3" bestFit="1" customWidth="1"/>
    <col min="20" max="20" width="18.109375" style="3" bestFit="1" customWidth="1"/>
    <col min="21" max="21" width="17" style="3" bestFit="1" customWidth="1"/>
    <col min="22" max="22" width="18.5546875" style="3" bestFit="1" customWidth="1"/>
    <col min="23" max="23" width="16.33203125" style="3" bestFit="1" customWidth="1"/>
    <col min="24" max="24" width="16.6640625" style="3" bestFit="1" customWidth="1"/>
    <col min="25" max="25" width="18.33203125" style="3" bestFit="1" customWidth="1"/>
    <col min="26" max="26" width="16" style="3" bestFit="1" customWidth="1"/>
    <col min="27" max="27" width="16.88671875" style="3" bestFit="1" customWidth="1"/>
    <col min="28" max="28" width="18.44140625" style="3" bestFit="1" customWidth="1"/>
    <col min="29" max="29" width="16.109375" style="3" bestFit="1" customWidth="1"/>
    <col min="30" max="30" width="17.33203125" style="3" bestFit="1" customWidth="1"/>
    <col min="31" max="31" width="21.5546875" style="3" bestFit="1" customWidth="1"/>
    <col min="32" max="32" width="11.44140625" style="3" bestFit="1" customWidth="1"/>
    <col min="33" max="33" width="12.88671875" style="3" bestFit="1" customWidth="1"/>
    <col min="34" max="34" width="10.6640625" style="3" bestFit="1" customWidth="1"/>
    <col min="35" max="35" width="11.6640625" style="3" bestFit="1" customWidth="1"/>
    <col min="36" max="36" width="16" style="3" bestFit="1" customWidth="1"/>
    <col min="37" max="37" width="8.88671875" style="3"/>
    <col min="38" max="38" width="8.6640625" style="3" bestFit="1" customWidth="1"/>
    <col min="39" max="39" width="5.5546875" style="3" bestFit="1" customWidth="1"/>
    <col min="40" max="40" width="14.6640625" style="3" bestFit="1" customWidth="1"/>
    <col min="41" max="16384" width="8.88671875" style="3"/>
  </cols>
  <sheetData>
    <row r="1" spans="1:40" s="1" customFormat="1" ht="11.25" customHeight="1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59" t="s">
        <v>8</v>
      </c>
      <c r="J1" s="36" t="s">
        <v>671</v>
      </c>
      <c r="K1" s="36" t="s">
        <v>672</v>
      </c>
      <c r="L1" s="36" t="s">
        <v>673</v>
      </c>
      <c r="M1" s="36" t="s">
        <v>674</v>
      </c>
      <c r="N1" s="36" t="s">
        <v>675</v>
      </c>
      <c r="O1" s="36" t="s">
        <v>676</v>
      </c>
      <c r="P1" s="7"/>
      <c r="Q1" s="102" t="s">
        <v>677</v>
      </c>
      <c r="R1" s="107"/>
      <c r="S1" s="107"/>
      <c r="T1" s="107"/>
      <c r="U1" s="107"/>
      <c r="V1" s="107"/>
      <c r="W1" s="107"/>
      <c r="X1" s="107"/>
      <c r="Y1" s="107"/>
      <c r="Z1" s="107"/>
      <c r="AA1" s="107"/>
      <c r="AB1" s="107"/>
      <c r="AC1" s="107"/>
      <c r="AD1" s="107"/>
      <c r="AE1" s="107"/>
      <c r="AF1" s="107"/>
      <c r="AG1" s="107"/>
      <c r="AH1" s="107"/>
      <c r="AI1" s="107"/>
      <c r="AJ1" s="107"/>
      <c r="AL1" s="40" t="s">
        <v>698</v>
      </c>
      <c r="AM1" s="40" t="s">
        <v>59</v>
      </c>
      <c r="AN1" s="40" t="s">
        <v>699</v>
      </c>
    </row>
    <row r="2" spans="1:40" ht="11.25" customHeight="1" x14ac:dyDescent="0.2">
      <c r="A2" s="41" t="s">
        <v>21</v>
      </c>
      <c r="B2" s="41" t="s">
        <v>35</v>
      </c>
      <c r="C2" s="41" t="s">
        <v>36</v>
      </c>
      <c r="D2" s="41" t="s">
        <v>39</v>
      </c>
      <c r="E2" s="41" t="s">
        <v>25</v>
      </c>
      <c r="F2" s="41" t="s">
        <v>25</v>
      </c>
      <c r="G2" s="41" t="s">
        <v>25</v>
      </c>
      <c r="H2" s="41" t="s">
        <v>38</v>
      </c>
      <c r="I2" s="60">
        <v>44440</v>
      </c>
      <c r="J2" s="61">
        <f>EFEITO!$J$2*EFEITO!$Y$2</f>
        <v>0</v>
      </c>
      <c r="K2" s="61">
        <f ca="1">EFEITO!$L$2*EFEITO!$Z$2</f>
        <v>2281.1516588383342</v>
      </c>
      <c r="L2" s="61">
        <f>EFEITO!$N$2*EFEITO!$AA$2</f>
        <v>4912.5222541903231</v>
      </c>
      <c r="M2" s="61">
        <f>$J$2-EFEITO!$K$2*EFEITO!$Y$2</f>
        <v>0</v>
      </c>
      <c r="N2" s="61">
        <f ca="1">$K$2-EFEITO!$M$2*EFEITO!$Z$2</f>
        <v>0</v>
      </c>
      <c r="O2" s="61">
        <f>$L$2-EFEITO!$O$2*EFEITO!$AA$2</f>
        <v>0</v>
      </c>
      <c r="P2" s="45"/>
      <c r="Q2" s="34" t="s">
        <v>62</v>
      </c>
      <c r="R2" s="34" t="s">
        <v>679</v>
      </c>
      <c r="S2" s="34" t="s">
        <v>680</v>
      </c>
      <c r="T2" s="34" t="s">
        <v>681</v>
      </c>
      <c r="U2" s="34" t="s">
        <v>682</v>
      </c>
      <c r="V2" s="34" t="s">
        <v>683</v>
      </c>
      <c r="W2" s="34" t="s">
        <v>684</v>
      </c>
      <c r="X2" s="62" t="s">
        <v>685</v>
      </c>
      <c r="Y2" s="62" t="s">
        <v>686</v>
      </c>
      <c r="Z2" s="62" t="s">
        <v>687</v>
      </c>
      <c r="AA2" s="62" t="s">
        <v>688</v>
      </c>
      <c r="AB2" s="62" t="s">
        <v>689</v>
      </c>
      <c r="AC2" s="62" t="s">
        <v>690</v>
      </c>
      <c r="AD2" s="62" t="s">
        <v>691</v>
      </c>
      <c r="AE2" s="62" t="s">
        <v>692</v>
      </c>
      <c r="AF2" s="62" t="s">
        <v>693</v>
      </c>
      <c r="AG2" s="62" t="s">
        <v>694</v>
      </c>
      <c r="AH2" s="62" t="s">
        <v>695</v>
      </c>
      <c r="AI2" s="62" t="s">
        <v>696</v>
      </c>
      <c r="AJ2" s="62" t="s">
        <v>697</v>
      </c>
      <c r="AL2" s="41"/>
      <c r="AM2" s="41"/>
      <c r="AN2" s="41"/>
    </row>
    <row r="3" spans="1:40" ht="11.25" customHeight="1" x14ac:dyDescent="0.2">
      <c r="A3" s="41" t="s">
        <v>21</v>
      </c>
      <c r="B3" s="41" t="s">
        <v>35</v>
      </c>
      <c r="C3" s="41" t="s">
        <v>36</v>
      </c>
      <c r="D3" s="41" t="s">
        <v>39</v>
      </c>
      <c r="E3" s="41" t="s">
        <v>25</v>
      </c>
      <c r="F3" s="41" t="s">
        <v>25</v>
      </c>
      <c r="G3" s="41" t="s">
        <v>25</v>
      </c>
      <c r="H3" s="41" t="s">
        <v>38</v>
      </c>
      <c r="I3" s="60">
        <v>44470</v>
      </c>
      <c r="J3" s="61">
        <f>EFEITO!$J$3*EFEITO!$Y$3</f>
        <v>0</v>
      </c>
      <c r="K3" s="61">
        <f ca="1">EFEITO!$L$3*EFEITO!$Z$3</f>
        <v>2354.1478023596201</v>
      </c>
      <c r="L3" s="61">
        <f>EFEITO!$N$3*EFEITO!$AA$3</f>
        <v>5069.7214382643015</v>
      </c>
      <c r="M3" s="61">
        <f>$J$3-EFEITO!$K$3*EFEITO!$Y$3</f>
        <v>0</v>
      </c>
      <c r="N3" s="61">
        <f ca="1">$K$3-EFEITO!$M$3*EFEITO!$Z$3</f>
        <v>0</v>
      </c>
      <c r="O3" s="61">
        <f>$L$3-EFEITO!$O$3*EFEITO!$AA$3</f>
        <v>0</v>
      </c>
      <c r="P3" s="45"/>
      <c r="Q3" s="61" t="s">
        <v>678</v>
      </c>
      <c r="R3" s="61">
        <f>SUMIF($B$2:$B$391,$Q$3,$J$2:$J$391)</f>
        <v>0</v>
      </c>
      <c r="S3" s="61">
        <f>SUMIF($B$2:$B$391,$Q$3,$K$2:$K$391)</f>
        <v>0</v>
      </c>
      <c r="T3" s="61">
        <f>SUMIF($B$2:$B$391,$Q$3,$L$2:$L$391)</f>
        <v>0</v>
      </c>
      <c r="U3" s="61">
        <f>SUMIF($B$2:$B$391,$Q$3,$M$2:$M$391)</f>
        <v>0</v>
      </c>
      <c r="V3" s="61">
        <f>SUMIF($B$2:$B$391,$Q$3,$N$2:$N$391)</f>
        <v>0</v>
      </c>
      <c r="W3" s="61">
        <f>SUMIF($B$2:$B$391,$Q$3,$O$2:$O$391)</f>
        <v>0</v>
      </c>
      <c r="X3" s="42">
        <f>$R$3-$U$3</f>
        <v>0</v>
      </c>
      <c r="Y3" s="42">
        <f>$S$3-$V$3</f>
        <v>0</v>
      </c>
      <c r="Z3" s="42">
        <f>$T$3-$W$3</f>
        <v>0</v>
      </c>
      <c r="AA3" s="42">
        <f>SUMIF(EFEITO!$B$2:$B$391,$Q$3,EFEITO!$AE$2:$AE$391)</f>
        <v>0</v>
      </c>
      <c r="AB3" s="42">
        <f>SUMIF(EFEITO!$B$2:$B$391,$Q$3,EFEITO!$AF$2:$AF$391)</f>
        <v>0</v>
      </c>
      <c r="AC3" s="42">
        <f>SUMIF(EFEITO!$B$2:$B$391,$Q$3,EFEITO!$AG$2:$AH$391)</f>
        <v>0</v>
      </c>
      <c r="AD3" s="42">
        <f>SUMIF(SUBSIDIO!$B$2:$B$391,$Q$3,SUBSIDIO!$AD$2:$AD$391)</f>
        <v>0</v>
      </c>
      <c r="AE3" s="42">
        <f>SUMIF(SUBSIDIO!$B$2:$B$391,$Q$3,SUBSIDIO!$AE$2:$AE$391)</f>
        <v>0</v>
      </c>
      <c r="AF3" s="42" t="str">
        <f>IF(ABS($X$3-$AA$3)&lt;0.01,"OK","ERRO")</f>
        <v>OK</v>
      </c>
      <c r="AG3" s="42" t="str">
        <f>IF(ABS($Y$3-$AB$3)&lt;0.01,"OK","ERRO")</f>
        <v>OK</v>
      </c>
      <c r="AH3" s="42" t="str">
        <f>IF(ABS($Z$3-$AC$3)&lt;0.01,"OK","ERRO")</f>
        <v>OK</v>
      </c>
      <c r="AI3" s="42" t="str">
        <f>IF(ABS($U$3-$AD$3)&lt;0.01,"OK","ERRO")</f>
        <v>OK</v>
      </c>
      <c r="AJ3" s="42" t="str">
        <f>IF(ABS(($V$3+$W$3)-$AE$3)&lt;0.01,"OK","ERRO")</f>
        <v>OK</v>
      </c>
    </row>
    <row r="4" spans="1:40" ht="11.25" customHeight="1" x14ac:dyDescent="0.2">
      <c r="A4" s="41" t="s">
        <v>21</v>
      </c>
      <c r="B4" s="41" t="s">
        <v>35</v>
      </c>
      <c r="C4" s="41" t="s">
        <v>36</v>
      </c>
      <c r="D4" s="41" t="s">
        <v>39</v>
      </c>
      <c r="E4" s="41" t="s">
        <v>25</v>
      </c>
      <c r="F4" s="41" t="s">
        <v>25</v>
      </c>
      <c r="G4" s="41" t="s">
        <v>25</v>
      </c>
      <c r="H4" s="41" t="s">
        <v>38</v>
      </c>
      <c r="I4" s="60">
        <v>44501</v>
      </c>
      <c r="J4" s="61">
        <f>EFEITO!$J$4*EFEITO!$Y$4</f>
        <v>0</v>
      </c>
      <c r="K4" s="61">
        <f ca="1">EFEITO!$L$4*EFEITO!$Z$4</f>
        <v>2558.5902213347886</v>
      </c>
      <c r="L4" s="61">
        <f>EFEITO!$N$4*EFEITO!$AA$4</f>
        <v>5509.9937581798777</v>
      </c>
      <c r="M4" s="61">
        <f>$J$4-EFEITO!$K$4*EFEITO!$Y$4</f>
        <v>0</v>
      </c>
      <c r="N4" s="61">
        <f ca="1">$K$4-EFEITO!$M$4*EFEITO!$Z$4</f>
        <v>0</v>
      </c>
      <c r="O4" s="61">
        <f>$L$4-EFEITO!$O$4*EFEITO!$AA$4</f>
        <v>0</v>
      </c>
      <c r="P4" s="45"/>
      <c r="Q4" s="61" t="s">
        <v>556</v>
      </c>
      <c r="R4" s="61">
        <f>SUMIF($B$2:$B$391,$Q$4,$J$2:$J$391)</f>
        <v>0</v>
      </c>
      <c r="S4" s="61">
        <f>SUMIF($B$2:$B$391,$Q$4,$K$2:$K$391)</f>
        <v>0</v>
      </c>
      <c r="T4" s="61">
        <f>SUMIF($B$2:$B$391,$Q$4,$L$2:$L$391)</f>
        <v>0</v>
      </c>
      <c r="U4" s="61">
        <f>SUMIF($B$2:$B$391,$Q$4,$M$2:$M$391)</f>
        <v>0</v>
      </c>
      <c r="V4" s="61">
        <f>SUMIF($B$2:$B$391,$Q$4,$N$2:$N$391)</f>
        <v>0</v>
      </c>
      <c r="W4" s="61">
        <f>SUMIF($B$2:$B$391,$Q$4,$O$2:$O$391)</f>
        <v>0</v>
      </c>
      <c r="X4" s="42">
        <f>$R$4-$U$4</f>
        <v>0</v>
      </c>
      <c r="Y4" s="42">
        <f>$S$4-$V$4</f>
        <v>0</v>
      </c>
      <c r="Z4" s="42">
        <f>$T$4-$W$4</f>
        <v>0</v>
      </c>
      <c r="AA4" s="42">
        <f>SUMIF(EFEITO!$B$2:$B$391,$Q$4,EFEITO!$AE$2:$AE$391)</f>
        <v>0</v>
      </c>
      <c r="AB4" s="42">
        <f>SUMIF(EFEITO!$B$2:$B$391,$Q$4,EFEITO!$AF$2:$AF$391)</f>
        <v>0</v>
      </c>
      <c r="AC4" s="42">
        <f>SUMIF(EFEITO!$B$2:$B$391,$Q$4,EFEITO!$AG$2:$AH$391)</f>
        <v>0</v>
      </c>
      <c r="AD4" s="42">
        <f>SUMIF(SUBSIDIO!$B$2:$B$391,$Q$4,SUBSIDIO!$AD$2:$AD$391)</f>
        <v>0</v>
      </c>
      <c r="AE4" s="42">
        <f>SUMIF(SUBSIDIO!$B$2:$B$391,$Q$4,SUBSIDIO!$AE$2:$AE$391)</f>
        <v>0</v>
      </c>
      <c r="AF4" s="42" t="str">
        <f>IF(ABS($X$4-$AA$4)&lt;0.01,"OK","ERRO")</f>
        <v>OK</v>
      </c>
      <c r="AG4" s="42" t="str">
        <f>IF(ABS($Y$4-$AB$4)&lt;0.01,"OK","ERRO")</f>
        <v>OK</v>
      </c>
      <c r="AH4" s="42" t="str">
        <f>IF(ABS($Z$4-$AC$4)&lt;0.01,"OK","ERRO")</f>
        <v>OK</v>
      </c>
      <c r="AI4" s="42" t="str">
        <f>IF(ABS($U$4-$AD$4)&lt;0.01,"OK","ERRO")</f>
        <v>OK</v>
      </c>
      <c r="AJ4" s="42" t="str">
        <f>IF(ABS(($V$4+$W$4)-$AE$4)&lt;0.01,"OK","ERRO")</f>
        <v>OK</v>
      </c>
    </row>
    <row r="5" spans="1:40" ht="11.25" customHeight="1" x14ac:dyDescent="0.2">
      <c r="A5" s="41" t="s">
        <v>21</v>
      </c>
      <c r="B5" s="41" t="s">
        <v>35</v>
      </c>
      <c r="C5" s="41" t="s">
        <v>36</v>
      </c>
      <c r="D5" s="41" t="s">
        <v>39</v>
      </c>
      <c r="E5" s="41" t="s">
        <v>25</v>
      </c>
      <c r="F5" s="41" t="s">
        <v>25</v>
      </c>
      <c r="G5" s="41" t="s">
        <v>25</v>
      </c>
      <c r="H5" s="41" t="s">
        <v>38</v>
      </c>
      <c r="I5" s="60">
        <v>44531</v>
      </c>
      <c r="J5" s="61">
        <f>EFEITO!$J$5*EFEITO!$Y$5</f>
        <v>0</v>
      </c>
      <c r="K5" s="61">
        <f ca="1">EFEITO!$L$5*EFEITO!$Z$5</f>
        <v>2915.4996764133475</v>
      </c>
      <c r="L5" s="61">
        <f>EFEITO!$N$5*EFEITO!$AA$5</f>
        <v>6278.6079947700191</v>
      </c>
      <c r="M5" s="61">
        <f>$J$5-EFEITO!$K$5*EFEITO!$Y$5</f>
        <v>0</v>
      </c>
      <c r="N5" s="61">
        <f ca="1">$K$5-EFEITO!$M$5*EFEITO!$Z$5</f>
        <v>0</v>
      </c>
      <c r="O5" s="61">
        <f>$L$5-EFEITO!$O$5*EFEITO!$AA$5</f>
        <v>0</v>
      </c>
      <c r="P5" s="45"/>
      <c r="Q5" s="61" t="s">
        <v>557</v>
      </c>
      <c r="R5" s="61">
        <f>SUMIF($B$2:$B$391,$Q$5,$J$2:$J$391)</f>
        <v>0</v>
      </c>
      <c r="S5" s="61">
        <f>SUMIF($B$2:$B$391,$Q$5,$K$2:$K$391)</f>
        <v>0</v>
      </c>
      <c r="T5" s="61">
        <f>SUMIF($B$2:$B$391,$Q$5,$L$2:$L$391)</f>
        <v>0</v>
      </c>
      <c r="U5" s="61">
        <f>SUMIF($B$2:$B$391,$Q$5,$M$2:$M$391)</f>
        <v>0</v>
      </c>
      <c r="V5" s="61">
        <f>SUMIF($B$2:$B$391,$Q$5,$N$2:$N$391)</f>
        <v>0</v>
      </c>
      <c r="W5" s="61">
        <f>SUMIF($B$2:$B$391,$Q$5,$O$2:$O$391)</f>
        <v>0</v>
      </c>
      <c r="X5" s="42">
        <f>$R$5-$U$5</f>
        <v>0</v>
      </c>
      <c r="Y5" s="42">
        <f>$S$5-$V$5</f>
        <v>0</v>
      </c>
      <c r="Z5" s="42">
        <f>$T$5-$W$5</f>
        <v>0</v>
      </c>
      <c r="AA5" s="42">
        <f>SUMIF(EFEITO!$B$2:$B$391,$Q$5,EFEITO!$AE$2:$AE$391)</f>
        <v>0</v>
      </c>
      <c r="AB5" s="42">
        <f>SUMIF(EFEITO!$B$2:$B$391,$Q$5,EFEITO!$AF$2:$AF$391)</f>
        <v>0</v>
      </c>
      <c r="AC5" s="42">
        <f>SUMIF(EFEITO!$B$2:$B$391,$Q$5,EFEITO!$AG$2:$AH$391)</f>
        <v>0</v>
      </c>
      <c r="AD5" s="42">
        <f>SUMIF(SUBSIDIO!$B$2:$B$391,$Q$5,SUBSIDIO!$AD$2:$AD$391)</f>
        <v>0</v>
      </c>
      <c r="AE5" s="42">
        <f>SUMIF(SUBSIDIO!$B$2:$B$391,$Q$5,SUBSIDIO!$AE$2:$AE$391)</f>
        <v>0</v>
      </c>
      <c r="AF5" s="42" t="str">
        <f>IF(ABS($X$5-$AA$5)&lt;0.01,"OK","ERRO")</f>
        <v>OK</v>
      </c>
      <c r="AG5" s="42" t="str">
        <f>IF(ABS($Y$5-$AB$5)&lt;0.01,"OK","ERRO")</f>
        <v>OK</v>
      </c>
      <c r="AH5" s="42" t="str">
        <f>IF(ABS($Z$5-$AC$5)&lt;0.01,"OK","ERRO")</f>
        <v>OK</v>
      </c>
      <c r="AI5" s="42" t="str">
        <f>IF(ABS($U$5-$AD$5)&lt;0.01,"OK","ERRO")</f>
        <v>OK</v>
      </c>
      <c r="AJ5" s="42" t="str">
        <f>IF(ABS(($V$5+$W$5)-$AE$5)&lt;0.01,"OK","ERRO")</f>
        <v>OK</v>
      </c>
    </row>
    <row r="6" spans="1:40" ht="11.25" customHeight="1" x14ac:dyDescent="0.2">
      <c r="A6" s="41" t="s">
        <v>21</v>
      </c>
      <c r="B6" s="41" t="s">
        <v>35</v>
      </c>
      <c r="C6" s="41" t="s">
        <v>36</v>
      </c>
      <c r="D6" s="41" t="s">
        <v>39</v>
      </c>
      <c r="E6" s="41" t="s">
        <v>25</v>
      </c>
      <c r="F6" s="41" t="s">
        <v>25</v>
      </c>
      <c r="G6" s="41" t="s">
        <v>25</v>
      </c>
      <c r="H6" s="41" t="s">
        <v>38</v>
      </c>
      <c r="I6" s="60">
        <v>44562</v>
      </c>
      <c r="J6" s="61">
        <f>EFEITO!$J$6*EFEITO!$Y$6</f>
        <v>0</v>
      </c>
      <c r="K6" s="61">
        <f ca="1">EFEITO!$L$6*EFEITO!$Z$6</f>
        <v>3165.8862051625456</v>
      </c>
      <c r="L6" s="61">
        <f>EFEITO!$N$6*EFEITO!$AA$6</f>
        <v>6817.8222069703106</v>
      </c>
      <c r="M6" s="61">
        <f>$J$6-EFEITO!$K$6*EFEITO!$Y$6</f>
        <v>0</v>
      </c>
      <c r="N6" s="61">
        <f ca="1">$K$6-EFEITO!$M$6*EFEITO!$Z$6</f>
        <v>0</v>
      </c>
      <c r="O6" s="61">
        <f>$L$6-EFEITO!$O$6*EFEITO!$AA$6</f>
        <v>0</v>
      </c>
      <c r="P6" s="45"/>
      <c r="Q6" s="61" t="s">
        <v>558</v>
      </c>
      <c r="R6" s="61">
        <f>SUMIF($B$2:$B$391,$Q$6,$J$2:$J$391)</f>
        <v>0</v>
      </c>
      <c r="S6" s="61">
        <f>SUMIF($B$2:$B$391,$Q$6,$K$2:$K$391)</f>
        <v>0</v>
      </c>
      <c r="T6" s="61">
        <f>SUMIF($B$2:$B$391,$Q$6,$L$2:$L$391)</f>
        <v>0</v>
      </c>
      <c r="U6" s="61">
        <f>SUMIF($B$2:$B$391,$Q$6,$M$2:$M$391)</f>
        <v>0</v>
      </c>
      <c r="V6" s="61">
        <f>SUMIF($B$2:$B$391,$Q$6,$N$2:$N$391)</f>
        <v>0</v>
      </c>
      <c r="W6" s="61">
        <f>SUMIF($B$2:$B$391,$Q$6,$O$2:$O$391)</f>
        <v>0</v>
      </c>
      <c r="X6" s="42">
        <f>$R$6-$U$6</f>
        <v>0</v>
      </c>
      <c r="Y6" s="42">
        <f>$S$6-$V$6</f>
        <v>0</v>
      </c>
      <c r="Z6" s="42">
        <f>$T$6-$W$6</f>
        <v>0</v>
      </c>
      <c r="AA6" s="42">
        <f>SUMIF(EFEITO!$B$2:$B$391,$Q$6,EFEITO!$AE$2:$AE$391)</f>
        <v>0</v>
      </c>
      <c r="AB6" s="42">
        <f>SUMIF(EFEITO!$B$2:$B$391,$Q$6,EFEITO!$AF$2:$AF$391)</f>
        <v>0</v>
      </c>
      <c r="AC6" s="42">
        <f>SUMIF(EFEITO!$B$2:$B$391,$Q$6,EFEITO!$AG$2:$AH$391)</f>
        <v>0</v>
      </c>
      <c r="AD6" s="42">
        <f>SUMIF(SUBSIDIO!$B$2:$B$391,$Q$6,SUBSIDIO!$AD$2:$AD$391)</f>
        <v>0</v>
      </c>
      <c r="AE6" s="42">
        <f>SUMIF(SUBSIDIO!$B$2:$B$391,$Q$6,SUBSIDIO!$AE$2:$AE$391)</f>
        <v>0</v>
      </c>
      <c r="AF6" s="42" t="str">
        <f>IF(ABS($X$6-$AA$6)&lt;0.01,"OK","ERRO")</f>
        <v>OK</v>
      </c>
      <c r="AG6" s="42" t="str">
        <f>IF(ABS($Y$6-$AB$6)&lt;0.01,"OK","ERRO")</f>
        <v>OK</v>
      </c>
      <c r="AH6" s="42" t="str">
        <f>IF(ABS($Z$6-$AC$6)&lt;0.01,"OK","ERRO")</f>
        <v>OK</v>
      </c>
      <c r="AI6" s="42" t="str">
        <f>IF(ABS($U$6-$AD$6)&lt;0.01,"OK","ERRO")</f>
        <v>OK</v>
      </c>
      <c r="AJ6" s="42" t="str">
        <f>IF(ABS(($V$6+$W$6)-$AE$6)&lt;0.01,"OK","ERRO")</f>
        <v>OK</v>
      </c>
    </row>
    <row r="7" spans="1:40" ht="11.25" customHeight="1" x14ac:dyDescent="0.2">
      <c r="A7" s="41" t="s">
        <v>21</v>
      </c>
      <c r="B7" s="41" t="s">
        <v>35</v>
      </c>
      <c r="C7" s="41" t="s">
        <v>36</v>
      </c>
      <c r="D7" s="41" t="s">
        <v>39</v>
      </c>
      <c r="E7" s="41" t="s">
        <v>25</v>
      </c>
      <c r="F7" s="41" t="s">
        <v>25</v>
      </c>
      <c r="G7" s="41" t="s">
        <v>25</v>
      </c>
      <c r="H7" s="41" t="s">
        <v>38</v>
      </c>
      <c r="I7" s="60">
        <v>44593</v>
      </c>
      <c r="J7" s="61">
        <f>EFEITO!$J$7*EFEITO!$Y$7</f>
        <v>0</v>
      </c>
      <c r="K7" s="61">
        <f ca="1">EFEITO!$L$7*EFEITO!$Z$7</f>
        <v>2801.4376587118004</v>
      </c>
      <c r="L7" s="61">
        <f>EFEITO!$N$7*EFEITO!$AA$7</f>
        <v>6032.9723316847994</v>
      </c>
      <c r="M7" s="61">
        <f>$J$7-EFEITO!$K$7*EFEITO!$Y$7</f>
        <v>0</v>
      </c>
      <c r="N7" s="61">
        <f ca="1">$K$7-EFEITO!$M$7*EFEITO!$Z$7</f>
        <v>0</v>
      </c>
      <c r="O7" s="61">
        <f>$L$7-EFEITO!$O$7*EFEITO!$AA$7</f>
        <v>0</v>
      </c>
      <c r="P7" s="45"/>
      <c r="Q7" s="61" t="s">
        <v>35</v>
      </c>
      <c r="R7" s="61">
        <f ca="1">SUMIF($B$2:$B$391,$Q$7,$J$2:$J$391)</f>
        <v>2161399.6232001763</v>
      </c>
      <c r="S7" s="61">
        <f ca="1">SUMIF($B$2:$B$391,$Q$7,$K$2:$K$391)</f>
        <v>5603401.6866703592</v>
      </c>
      <c r="T7" s="61">
        <f>SUMIF($B$2:$B$391,$Q$7,$L$2:$L$391)</f>
        <v>4772260.8524334105</v>
      </c>
      <c r="U7" s="61">
        <f ca="1">SUMIF($B$2:$B$391,$Q$7,$M$2:$M$391)</f>
        <v>0</v>
      </c>
      <c r="V7" s="61">
        <f ca="1">SUMIF($B$2:$B$391,$Q$7,$N$2:$N$391)</f>
        <v>0</v>
      </c>
      <c r="W7" s="61">
        <f>SUMIF($B$2:$B$391,$Q$7,$O$2:$O$391)</f>
        <v>0</v>
      </c>
      <c r="X7" s="42">
        <f ca="1">$R$7-$U$7</f>
        <v>2161399.6232001763</v>
      </c>
      <c r="Y7" s="42">
        <f ca="1">$S$7-$V$7</f>
        <v>5603401.6866703592</v>
      </c>
      <c r="Z7" s="42">
        <f>$T$7-$W$7</f>
        <v>4772260.8524334105</v>
      </c>
      <c r="AA7" s="42">
        <f ca="1">SUMIF(EFEITO!$B$2:$B$391,$Q$7,EFEITO!$AE$2:$AE$391)</f>
        <v>2161399.6232001763</v>
      </c>
      <c r="AB7" s="42">
        <f ca="1">SUMIF(EFEITO!$B$2:$B$391,$Q$7,EFEITO!$AF$2:$AF$391)</f>
        <v>5603401.6866703592</v>
      </c>
      <c r="AC7" s="42">
        <f>SUMIF(EFEITO!$B$2:$B$391,$Q$7,EFEITO!$AG$2:$AH$391)</f>
        <v>4772260.8524334105</v>
      </c>
      <c r="AD7" s="42">
        <f>SUMIF(SUBSIDIO!$B$2:$B$391,$Q$7,SUBSIDIO!$AD$2:$AD$391)</f>
        <v>0</v>
      </c>
      <c r="AE7" s="42">
        <f>SUMIF(SUBSIDIO!$B$2:$B$391,$Q$7,SUBSIDIO!$AE$2:$AE$391)</f>
        <v>0</v>
      </c>
      <c r="AF7" s="42" t="str">
        <f ca="1">IF(ABS($X$7-$AA$7)&lt;0.01,"OK","ERRO")</f>
        <v>OK</v>
      </c>
      <c r="AG7" s="42" t="str">
        <f ca="1">IF(ABS($Y$7-$AB$7)&lt;0.01,"OK","ERRO")</f>
        <v>OK</v>
      </c>
      <c r="AH7" s="42" t="str">
        <f>IF(ABS($Z$7-$AC$7)&lt;0.01,"OK","ERRO")</f>
        <v>OK</v>
      </c>
      <c r="AI7" s="42" t="str">
        <f ca="1">IF(ABS($U$7-$AD$7)&lt;0.01,"OK","ERRO")</f>
        <v>OK</v>
      </c>
      <c r="AJ7" s="42" t="str">
        <f ca="1">IF(ABS(($V$7+$W$7)-$AE$7)&lt;0.01,"OK","ERRO")</f>
        <v>OK</v>
      </c>
    </row>
    <row r="8" spans="1:40" ht="11.25" customHeight="1" x14ac:dyDescent="0.2">
      <c r="A8" s="41" t="s">
        <v>21</v>
      </c>
      <c r="B8" s="41" t="s">
        <v>35</v>
      </c>
      <c r="C8" s="41" t="s">
        <v>36</v>
      </c>
      <c r="D8" s="41" t="s">
        <v>39</v>
      </c>
      <c r="E8" s="41" t="s">
        <v>25</v>
      </c>
      <c r="F8" s="41" t="s">
        <v>25</v>
      </c>
      <c r="G8" s="41" t="s">
        <v>25</v>
      </c>
      <c r="H8" s="41" t="s">
        <v>38</v>
      </c>
      <c r="I8" s="60">
        <v>44621</v>
      </c>
      <c r="J8" s="61">
        <f>EFEITO!$J$8*EFEITO!$Y$8</f>
        <v>0</v>
      </c>
      <c r="K8" s="61">
        <f ca="1">EFEITO!$L$8*EFEITO!$Z$8</f>
        <v>2833.8114040158939</v>
      </c>
      <c r="L8" s="61">
        <f>EFEITO!$N$8*EFEITO!$AA$8</f>
        <v>6102.6900743178512</v>
      </c>
      <c r="M8" s="61">
        <f>$J$8-EFEITO!$K$8*EFEITO!$Y$8</f>
        <v>0</v>
      </c>
      <c r="N8" s="61">
        <f ca="1">$K$8-EFEITO!$M$8*EFEITO!$Z$8</f>
        <v>0</v>
      </c>
      <c r="O8" s="61">
        <f>$L$8-EFEITO!$O$8*EFEITO!$AA$8</f>
        <v>0</v>
      </c>
      <c r="P8" s="45"/>
      <c r="Q8" s="61" t="s">
        <v>559</v>
      </c>
      <c r="R8" s="61">
        <f>SUMIF($B$2:$B$391,$Q$8,$J$2:$J$391)</f>
        <v>0</v>
      </c>
      <c r="S8" s="61">
        <f>SUMIF($B$2:$B$391,$Q$8,$K$2:$K$391)</f>
        <v>0</v>
      </c>
      <c r="T8" s="61">
        <f>SUMIF($B$2:$B$391,$Q$8,$L$2:$L$391)</f>
        <v>0</v>
      </c>
      <c r="U8" s="61">
        <f>SUMIF($B$2:$B$391,$Q$8,$M$2:$M$391)</f>
        <v>0</v>
      </c>
      <c r="V8" s="61">
        <f>SUMIF($B$2:$B$391,$Q$8,$N$2:$N$391)</f>
        <v>0</v>
      </c>
      <c r="W8" s="61">
        <f>SUMIF($B$2:$B$391,$Q$8,$O$2:$O$391)</f>
        <v>0</v>
      </c>
      <c r="X8" s="42">
        <f>$R$8-$U$8</f>
        <v>0</v>
      </c>
      <c r="Y8" s="42">
        <f>$S$8-$V$8</f>
        <v>0</v>
      </c>
      <c r="Z8" s="42">
        <f>$T$8-$W$8</f>
        <v>0</v>
      </c>
      <c r="AA8" s="42">
        <f>SUMIF(EFEITO!$B$2:$B$391,$Q$8,EFEITO!$AE$2:$AE$391)</f>
        <v>0</v>
      </c>
      <c r="AB8" s="42">
        <f>SUMIF(EFEITO!$B$2:$B$391,$Q$8,EFEITO!$AF$2:$AF$391)</f>
        <v>0</v>
      </c>
      <c r="AC8" s="42">
        <f>SUMIF(EFEITO!$B$2:$B$391,$Q$8,EFEITO!$AG$2:$AH$391)</f>
        <v>0</v>
      </c>
      <c r="AD8" s="42">
        <f>SUMIF(SUBSIDIO!$B$2:$B$391,$Q$8,SUBSIDIO!$AD$2:$AD$391)</f>
        <v>0</v>
      </c>
      <c r="AE8" s="42">
        <f>SUMIF(SUBSIDIO!$B$2:$B$391,$Q$8,SUBSIDIO!$AE$2:$AE$391)</f>
        <v>0</v>
      </c>
      <c r="AF8" s="42" t="str">
        <f>IF(ABS($X$8-$AA$8)&lt;0.01,"OK","ERRO")</f>
        <v>OK</v>
      </c>
      <c r="AG8" s="42" t="str">
        <f>IF(ABS($Y$8-$AB$8)&lt;0.01,"OK","ERRO")</f>
        <v>OK</v>
      </c>
      <c r="AH8" s="42" t="str">
        <f>IF(ABS($Z$8-$AC$8)&lt;0.01,"OK","ERRO")</f>
        <v>OK</v>
      </c>
      <c r="AI8" s="42" t="str">
        <f>IF(ABS($U$8-$AD$8)&lt;0.01,"OK","ERRO")</f>
        <v>OK</v>
      </c>
      <c r="AJ8" s="42" t="str">
        <f>IF(ABS(($V$8+$W$8)-$AE$8)&lt;0.01,"OK","ERRO")</f>
        <v>OK</v>
      </c>
    </row>
    <row r="9" spans="1:40" ht="11.25" customHeight="1" x14ac:dyDescent="0.2">
      <c r="A9" s="41" t="s">
        <v>21</v>
      </c>
      <c r="B9" s="41" t="s">
        <v>35</v>
      </c>
      <c r="C9" s="41" t="s">
        <v>36</v>
      </c>
      <c r="D9" s="41" t="s">
        <v>39</v>
      </c>
      <c r="E9" s="41" t="s">
        <v>25</v>
      </c>
      <c r="F9" s="41" t="s">
        <v>25</v>
      </c>
      <c r="G9" s="41" t="s">
        <v>25</v>
      </c>
      <c r="H9" s="41" t="s">
        <v>38</v>
      </c>
      <c r="I9" s="60">
        <v>44652</v>
      </c>
      <c r="J9" s="61">
        <f>EFEITO!$J$9*EFEITO!$Y$9</f>
        <v>0</v>
      </c>
      <c r="K9" s="61">
        <f ca="1">EFEITO!$L$9*EFEITO!$Z$9</f>
        <v>2650.9219168459172</v>
      </c>
      <c r="L9" s="61">
        <f>EFEITO!$N$9*EFEITO!$AA$9</f>
        <v>5708.832580319623</v>
      </c>
      <c r="M9" s="61">
        <f>$J$9-EFEITO!$K$9*EFEITO!$Y$9</f>
        <v>0</v>
      </c>
      <c r="N9" s="61">
        <f ca="1">$K$9-EFEITO!$M$9*EFEITO!$Z$9</f>
        <v>0</v>
      </c>
      <c r="O9" s="61">
        <f>$L$9-EFEITO!$O$9*EFEITO!$AA$9</f>
        <v>0</v>
      </c>
      <c r="P9" s="45"/>
      <c r="Q9" s="61" t="s">
        <v>22</v>
      </c>
      <c r="R9" s="61">
        <f>SUMIF($B$2:$B$391,$Q$9,$J$2:$J$391)</f>
        <v>0</v>
      </c>
      <c r="S9" s="61">
        <f ca="1">SUMIF($B$2:$B$391,$Q$9,$K$2:$K$391)</f>
        <v>2801743.4819867508</v>
      </c>
      <c r="T9" s="61">
        <f>SUMIF($B$2:$B$391,$Q$9,$L$2:$L$391)</f>
        <v>1213394.1428300946</v>
      </c>
      <c r="U9" s="61">
        <f>SUMIF($B$2:$B$391,$Q$9,$M$2:$M$391)</f>
        <v>0</v>
      </c>
      <c r="V9" s="61">
        <f ca="1">SUMIF($B$2:$B$391,$Q$9,$N$2:$N$391)</f>
        <v>45117.563168883491</v>
      </c>
      <c r="W9" s="61">
        <f>SUMIF($B$2:$B$391,$Q$9,$O$2:$O$391)</f>
        <v>24840.594056543439</v>
      </c>
      <c r="X9" s="42">
        <f>$R$9-$U$9</f>
        <v>0</v>
      </c>
      <c r="Y9" s="42">
        <f ca="1">$S$9-$V$9</f>
        <v>2756625.9188178675</v>
      </c>
      <c r="Z9" s="42">
        <f>$T$9-$W$9</f>
        <v>1188553.5487735511</v>
      </c>
      <c r="AA9" s="42">
        <f>SUMIF(EFEITO!$B$2:$B$391,$Q$9,EFEITO!$AE$2:$AE$391)</f>
        <v>0</v>
      </c>
      <c r="AB9" s="42">
        <f ca="1">SUMIF(EFEITO!$B$2:$B$391,$Q$9,EFEITO!$AF$2:$AF$391)</f>
        <v>2756625.9188178671</v>
      </c>
      <c r="AC9" s="42">
        <f>SUMIF(EFEITO!$B$2:$B$391,$Q$9,EFEITO!$AG$2:$AH$391)</f>
        <v>1188553.5487735516</v>
      </c>
      <c r="AD9" s="42">
        <f>SUMIF(SUBSIDIO!$B$2:$B$391,$Q$9,SUBSIDIO!$AD$2:$AD$391)</f>
        <v>0</v>
      </c>
      <c r="AE9" s="42">
        <f ca="1">SUMIF(SUBSIDIO!$B$2:$B$391,$Q$9,SUBSIDIO!$AE$2:$AE$391)</f>
        <v>69958.157225426927</v>
      </c>
      <c r="AF9" s="42" t="str">
        <f>IF(ABS($X$9-$AA$9)&lt;0.01,"OK","ERRO")</f>
        <v>OK</v>
      </c>
      <c r="AG9" s="42" t="str">
        <f ca="1">IF(ABS($Y$9-$AB$9)&lt;0.01,"OK","ERRO")</f>
        <v>OK</v>
      </c>
      <c r="AH9" s="42" t="str">
        <f>IF(ABS($Z$9-$AC$9)&lt;0.01,"OK","ERRO")</f>
        <v>OK</v>
      </c>
      <c r="AI9" s="42" t="str">
        <f>IF(ABS($U$9-$AD$9)&lt;0.01,"OK","ERRO")</f>
        <v>OK</v>
      </c>
      <c r="AJ9" s="42" t="str">
        <f ca="1">IF(ABS(($V$9+$W$9)-$AE$9)&lt;0.01,"OK","ERRO")</f>
        <v>OK</v>
      </c>
    </row>
    <row r="10" spans="1:40" ht="11.25" customHeight="1" x14ac:dyDescent="0.2">
      <c r="A10" s="41" t="s">
        <v>21</v>
      </c>
      <c r="B10" s="41" t="s">
        <v>35</v>
      </c>
      <c r="C10" s="41" t="s">
        <v>36</v>
      </c>
      <c r="D10" s="41" t="s">
        <v>39</v>
      </c>
      <c r="E10" s="41" t="s">
        <v>25</v>
      </c>
      <c r="F10" s="41" t="s">
        <v>25</v>
      </c>
      <c r="G10" s="41" t="s">
        <v>25</v>
      </c>
      <c r="H10" s="41" t="s">
        <v>38</v>
      </c>
      <c r="I10" s="60">
        <v>44682</v>
      </c>
      <c r="J10" s="61">
        <f>EFEITO!$J$10*EFEITO!$Y$10</f>
        <v>0</v>
      </c>
      <c r="K10" s="61">
        <f ca="1">EFEITO!$L$10*EFEITO!$Z$10</f>
        <v>2430.7804487780777</v>
      </c>
      <c r="L10" s="61">
        <f>EFEITO!$N$10*EFEITO!$AA$10</f>
        <v>5234.7519304148682</v>
      </c>
      <c r="M10" s="61">
        <f>$J$10-EFEITO!$K$10*EFEITO!$Y$10</f>
        <v>0</v>
      </c>
      <c r="N10" s="61">
        <f ca="1">$K$10-EFEITO!$M$10*EFEITO!$Z$10</f>
        <v>0</v>
      </c>
      <c r="O10" s="61">
        <f>$L$10-EFEITO!$O$10*EFEITO!$AA$10</f>
        <v>0</v>
      </c>
      <c r="P10" s="45"/>
      <c r="Q10" s="61" t="s">
        <v>42</v>
      </c>
      <c r="R10" s="61">
        <f>SUMIF($B$2:$B$391,$Q$10,$J$2:$J$391)</f>
        <v>0</v>
      </c>
      <c r="S10" s="61">
        <f ca="1">SUMIF($B$2:$B$391,$Q$10,$K$2:$K$391)</f>
        <v>2469382.7790529616</v>
      </c>
      <c r="T10" s="61">
        <f>SUMIF($B$2:$B$391,$Q$10,$L$2:$L$391)</f>
        <v>1052785.4746300888</v>
      </c>
      <c r="U10" s="61">
        <f>SUMIF($B$2:$B$391,$Q$10,$M$2:$M$391)</f>
        <v>0</v>
      </c>
      <c r="V10" s="61">
        <f ca="1">SUMIF($B$2:$B$391,$Q$10,$N$2:$N$391)</f>
        <v>169665.63412169495</v>
      </c>
      <c r="W10" s="61">
        <f>SUMIF($B$2:$B$391,$Q$10,$O$2:$O$391)</f>
        <v>72334.478341072463</v>
      </c>
      <c r="X10" s="42">
        <f>$R$10-$U$10</f>
        <v>0</v>
      </c>
      <c r="Y10" s="42">
        <f ca="1">$S$10-$V$10</f>
        <v>2299717.1449312665</v>
      </c>
      <c r="Z10" s="42">
        <f>$T$10-$W$10</f>
        <v>980450.99628901633</v>
      </c>
      <c r="AA10" s="42">
        <f>SUMIF(EFEITO!$B$2:$B$391,$Q$10,EFEITO!$AE$2:$AE$391)</f>
        <v>0</v>
      </c>
      <c r="AB10" s="42">
        <f ca="1">SUMIF(EFEITO!$B$2:$B$391,$Q$10,EFEITO!$AF$2:$AF$391)</f>
        <v>2299717.1449312675</v>
      </c>
      <c r="AC10" s="42">
        <f>SUMIF(EFEITO!$B$2:$B$391,$Q$10,EFEITO!$AG$2:$AH$391)</f>
        <v>980450.9962890168</v>
      </c>
      <c r="AD10" s="42">
        <f>SUMIF(SUBSIDIO!$B$2:$B$391,$Q$10,SUBSIDIO!$AD$2:$AD$391)</f>
        <v>0</v>
      </c>
      <c r="AE10" s="42">
        <f ca="1">SUMIF(SUBSIDIO!$B$2:$B$391,$Q$10,SUBSIDIO!$AE$2:$AE$391)</f>
        <v>242000.1124627676</v>
      </c>
      <c r="AF10" s="42" t="str">
        <f>IF(ABS($X$10-$AA$10)&lt;0.01,"OK","ERRO")</f>
        <v>OK</v>
      </c>
      <c r="AG10" s="42" t="str">
        <f ca="1">IF(ABS($Y$10-$AB$10)&lt;0.01,"OK","ERRO")</f>
        <v>OK</v>
      </c>
      <c r="AH10" s="42" t="str">
        <f>IF(ABS($Z$10-$AC$10)&lt;0.01,"OK","ERRO")</f>
        <v>OK</v>
      </c>
      <c r="AI10" s="42" t="str">
        <f>IF(ABS($U$10-$AD$10)&lt;0.01,"OK","ERRO")</f>
        <v>OK</v>
      </c>
      <c r="AJ10" s="42" t="str">
        <f ca="1">IF(ABS(($V$10+$W$10)-$AE$10)&lt;0.01,"OK","ERRO")</f>
        <v>OK</v>
      </c>
    </row>
    <row r="11" spans="1:40" ht="11.25" customHeight="1" x14ac:dyDescent="0.2">
      <c r="A11" s="41" t="s">
        <v>21</v>
      </c>
      <c r="B11" s="41" t="s">
        <v>35</v>
      </c>
      <c r="C11" s="41" t="s">
        <v>36</v>
      </c>
      <c r="D11" s="41" t="s">
        <v>39</v>
      </c>
      <c r="E11" s="41" t="s">
        <v>25</v>
      </c>
      <c r="F11" s="41" t="s">
        <v>25</v>
      </c>
      <c r="G11" s="41" t="s">
        <v>25</v>
      </c>
      <c r="H11" s="41" t="s">
        <v>38</v>
      </c>
      <c r="I11" s="60">
        <v>44713</v>
      </c>
      <c r="J11" s="61">
        <f>EFEITO!$J$11*EFEITO!$Y$11</f>
        <v>0</v>
      </c>
      <c r="K11" s="61">
        <f ca="1">EFEITO!$L$11*EFEITO!$Z$11</f>
        <v>2213.2111412960439</v>
      </c>
      <c r="L11" s="61">
        <f>EFEITO!$N$11*EFEITO!$AA$11</f>
        <v>4766.210498417945</v>
      </c>
      <c r="M11" s="61">
        <f>$J$11-EFEITO!$K$11*EFEITO!$Y$11</f>
        <v>0</v>
      </c>
      <c r="N11" s="61">
        <f ca="1">$K$11-EFEITO!$M$11*EFEITO!$Z$11</f>
        <v>0</v>
      </c>
      <c r="O11" s="61">
        <f>$L$11-EFEITO!$O$11*EFEITO!$AA$11</f>
        <v>0</v>
      </c>
      <c r="P11" s="45"/>
      <c r="Q11" s="61" t="s">
        <v>33</v>
      </c>
      <c r="R11" s="61">
        <f>SUMIF($B$2:$B$391,$Q$11,$J$2:$J$391)</f>
        <v>0</v>
      </c>
      <c r="S11" s="61">
        <f ca="1">SUMIF($B$2:$B$391,$Q$11,$K$2:$K$391)</f>
        <v>1453766.8513613371</v>
      </c>
      <c r="T11" s="61">
        <f>SUMIF($B$2:$B$391,$Q$11,$L$2:$L$391)</f>
        <v>619826.64142047719</v>
      </c>
      <c r="U11" s="61">
        <f>SUMIF($B$2:$B$391,$Q$11,$M$2:$M$391)</f>
        <v>0</v>
      </c>
      <c r="V11" s="61">
        <f ca="1">SUMIF($B$2:$B$391,$Q$11,$N$2:$N$391)</f>
        <v>3185.1649865404133</v>
      </c>
      <c r="W11" s="61">
        <f>SUMIF($B$2:$B$391,$Q$11,$O$2:$O$391)</f>
        <v>1357.9488204806094</v>
      </c>
      <c r="X11" s="42">
        <f>$R$11-$U$11</f>
        <v>0</v>
      </c>
      <c r="Y11" s="42">
        <f ca="1">$S$11-$V$11</f>
        <v>1450581.6863747968</v>
      </c>
      <c r="Z11" s="42">
        <f>$T$11-$W$11</f>
        <v>618468.69259999658</v>
      </c>
      <c r="AA11" s="42">
        <f>SUMIF(EFEITO!$B$2:$B$391,$Q$11,EFEITO!$AE$2:$AE$391)</f>
        <v>0</v>
      </c>
      <c r="AB11" s="42">
        <f ca="1">SUMIF(EFEITO!$B$2:$B$391,$Q$11,EFEITO!$AF$2:$AF$391)</f>
        <v>1450581.6863747966</v>
      </c>
      <c r="AC11" s="42">
        <f>SUMIF(EFEITO!$B$2:$B$391,$Q$11,EFEITO!$AG$2:$AH$391)</f>
        <v>618468.69259999669</v>
      </c>
      <c r="AD11" s="42">
        <f>SUMIF(SUBSIDIO!$B$2:$B$391,$Q$11,SUBSIDIO!$AD$2:$AD$391)</f>
        <v>0</v>
      </c>
      <c r="AE11" s="42">
        <f ca="1">SUMIF(SUBSIDIO!$B$2:$B$391,$Q$11,SUBSIDIO!$AE$2:$AE$391)</f>
        <v>4543.1138070210154</v>
      </c>
      <c r="AF11" s="42" t="str">
        <f>IF(ABS($X$11-$AA$11)&lt;0.01,"OK","ERRO")</f>
        <v>OK</v>
      </c>
      <c r="AG11" s="42" t="str">
        <f ca="1">IF(ABS($Y$11-$AB$11)&lt;0.01,"OK","ERRO")</f>
        <v>OK</v>
      </c>
      <c r="AH11" s="42" t="str">
        <f>IF(ABS($Z$11-$AC$11)&lt;0.01,"OK","ERRO")</f>
        <v>OK</v>
      </c>
      <c r="AI11" s="42" t="str">
        <f>IF(ABS($U$11-$AD$11)&lt;0.01,"OK","ERRO")</f>
        <v>OK</v>
      </c>
      <c r="AJ11" s="42" t="str">
        <f ca="1">IF(ABS(($V$11+$W$11)-$AE$11)&lt;0.01,"OK","ERRO")</f>
        <v>OK</v>
      </c>
    </row>
    <row r="12" spans="1:40" ht="11.25" customHeight="1" x14ac:dyDescent="0.2">
      <c r="A12" s="41" t="s">
        <v>21</v>
      </c>
      <c r="B12" s="41" t="s">
        <v>35</v>
      </c>
      <c r="C12" s="41" t="s">
        <v>36</v>
      </c>
      <c r="D12" s="41" t="s">
        <v>39</v>
      </c>
      <c r="E12" s="41" t="s">
        <v>25</v>
      </c>
      <c r="F12" s="41" t="s">
        <v>25</v>
      </c>
      <c r="G12" s="41" t="s">
        <v>25</v>
      </c>
      <c r="H12" s="41" t="s">
        <v>38</v>
      </c>
      <c r="I12" s="60">
        <v>44743</v>
      </c>
      <c r="J12" s="61">
        <f>EFEITO!$J$12*EFEITO!$Y$12</f>
        <v>0</v>
      </c>
      <c r="K12" s="61">
        <f ca="1">EFEITO!$L$12*EFEITO!$Z$12</f>
        <v>2388.4728419012208</v>
      </c>
      <c r="L12" s="61">
        <f>EFEITO!$N$12*EFEITO!$AA$12</f>
        <v>5143.6413462067421</v>
      </c>
      <c r="M12" s="61">
        <f>$J$12-EFEITO!$K$12*EFEITO!$Y$12</f>
        <v>0</v>
      </c>
      <c r="N12" s="61">
        <f ca="1">$K$12-EFEITO!$M$12*EFEITO!$Z$12</f>
        <v>0</v>
      </c>
      <c r="O12" s="61">
        <f>$L$12-EFEITO!$O$12*EFEITO!$AA$12</f>
        <v>0</v>
      </c>
      <c r="P12" s="45"/>
      <c r="Q12" s="61" t="s">
        <v>45</v>
      </c>
      <c r="R12" s="61">
        <f>SUMIF($B$2:$B$391,$Q$12,$J$2:$J$391)</f>
        <v>0</v>
      </c>
      <c r="S12" s="61">
        <f ca="1">SUMIF($B$2:$B$391,$Q$12,$K$2:$K$391)</f>
        <v>298165.29525465384</v>
      </c>
      <c r="T12" s="61">
        <f>SUMIF($B$2:$B$391,$Q$12,$L$2:$L$391)</f>
        <v>127118.44212474726</v>
      </c>
      <c r="U12" s="61">
        <f>SUMIF($B$2:$B$391,$Q$12,$M$2:$M$391)</f>
        <v>0</v>
      </c>
      <c r="V12" s="61">
        <f ca="1">SUMIF($B$2:$B$391,$Q$12,$N$2:$N$391)</f>
        <v>0</v>
      </c>
      <c r="W12" s="61">
        <f>SUMIF($B$2:$B$391,$Q$12,$O$2:$O$391)</f>
        <v>0</v>
      </c>
      <c r="X12" s="42">
        <f>$R$12-$U$12</f>
        <v>0</v>
      </c>
      <c r="Y12" s="42">
        <f ca="1">$S$12-$V$12</f>
        <v>298165.29525465384</v>
      </c>
      <c r="Z12" s="42">
        <f>$T$12-$W$12</f>
        <v>127118.44212474726</v>
      </c>
      <c r="AA12" s="42">
        <f>SUMIF(EFEITO!$B$2:$B$391,$Q$12,EFEITO!$AE$2:$AE$391)</f>
        <v>0</v>
      </c>
      <c r="AB12" s="42">
        <f ca="1">SUMIF(EFEITO!$B$2:$B$391,$Q$12,EFEITO!$AF$2:$AF$391)</f>
        <v>298165.29525465384</v>
      </c>
      <c r="AC12" s="42">
        <f>SUMIF(EFEITO!$B$2:$B$391,$Q$12,EFEITO!$AG$2:$AH$391)</f>
        <v>127118.44212474726</v>
      </c>
      <c r="AD12" s="42">
        <f>SUMIF(SUBSIDIO!$B$2:$B$391,$Q$12,SUBSIDIO!$AD$2:$AD$391)</f>
        <v>0</v>
      </c>
      <c r="AE12" s="42">
        <f>SUMIF(SUBSIDIO!$B$2:$B$391,$Q$12,SUBSIDIO!$AE$2:$AE$391)</f>
        <v>0</v>
      </c>
      <c r="AF12" s="42" t="str">
        <f>IF(ABS($X$12-$AA$12)&lt;0.01,"OK","ERRO")</f>
        <v>OK</v>
      </c>
      <c r="AG12" s="42" t="str">
        <f ca="1">IF(ABS($Y$12-$AB$12)&lt;0.01,"OK","ERRO")</f>
        <v>OK</v>
      </c>
      <c r="AH12" s="42" t="str">
        <f>IF(ABS($Z$12-$AC$12)&lt;0.01,"OK","ERRO")</f>
        <v>OK</v>
      </c>
      <c r="AI12" s="42" t="str">
        <f>IF(ABS($U$12-$AD$12)&lt;0.01,"OK","ERRO")</f>
        <v>OK</v>
      </c>
      <c r="AJ12" s="42" t="str">
        <f ca="1">IF(ABS(($V$12+$W$12)-$AE$12)&lt;0.01,"OK","ERRO")</f>
        <v>OK</v>
      </c>
    </row>
    <row r="13" spans="1:40" ht="11.25" customHeight="1" x14ac:dyDescent="0.2">
      <c r="A13" s="41" t="s">
        <v>55</v>
      </c>
      <c r="B13" s="41" t="s">
        <v>35</v>
      </c>
      <c r="C13" s="41" t="s">
        <v>36</v>
      </c>
      <c r="D13" s="41" t="s">
        <v>39</v>
      </c>
      <c r="E13" s="41" t="s">
        <v>25</v>
      </c>
      <c r="F13" s="41" t="s">
        <v>25</v>
      </c>
      <c r="G13" s="41" t="s">
        <v>25</v>
      </c>
      <c r="H13" s="41" t="s">
        <v>38</v>
      </c>
      <c r="I13" s="60">
        <v>44774</v>
      </c>
      <c r="J13" s="61">
        <f>EFEITO!$J$13*EFEITO!$Y$13</f>
        <v>0</v>
      </c>
      <c r="K13" s="61">
        <f ca="1">EFEITO!$L$13*EFEITO!$Z$13</f>
        <v>2388.4728419012208</v>
      </c>
      <c r="L13" s="61">
        <f>EFEITO!$N$13*EFEITO!$AA$13</f>
        <v>5143.6413462067421</v>
      </c>
      <c r="M13" s="61">
        <f>$J$13-EFEITO!$K$13*EFEITO!$Y$13</f>
        <v>0</v>
      </c>
      <c r="N13" s="61">
        <f ca="1">$K$13-EFEITO!$M$13*EFEITO!$Z$13</f>
        <v>0</v>
      </c>
      <c r="O13" s="61">
        <f>$L$13-EFEITO!$O$13*EFEITO!$AA$13</f>
        <v>0</v>
      </c>
      <c r="P13" s="45"/>
      <c r="Q13" s="61" t="s">
        <v>82</v>
      </c>
      <c r="R13" s="61">
        <f>SUMIF($B$2:$B$391,$Q$13,$J$2:$J$391)</f>
        <v>0</v>
      </c>
      <c r="S13" s="61">
        <f>SUMIF($B$2:$B$391,$Q$13,$K$2:$K$391)</f>
        <v>0</v>
      </c>
      <c r="T13" s="61">
        <f>SUMIF($B$2:$B$391,$Q$13,$L$2:$L$391)</f>
        <v>0</v>
      </c>
      <c r="U13" s="61">
        <f>SUMIF($B$2:$B$391,$Q$13,$M$2:$M$391)</f>
        <v>0</v>
      </c>
      <c r="V13" s="61">
        <f>SUMIF($B$2:$B$391,$Q$13,$N$2:$N$391)</f>
        <v>0</v>
      </c>
      <c r="W13" s="61">
        <f>SUMIF($B$2:$B$391,$Q$13,$O$2:$O$391)</f>
        <v>0</v>
      </c>
      <c r="X13" s="42">
        <f>$R$13-$U$13</f>
        <v>0</v>
      </c>
      <c r="Y13" s="42">
        <f>$S$13-$V$13</f>
        <v>0</v>
      </c>
      <c r="Z13" s="42">
        <f>$T$13-$W$13</f>
        <v>0</v>
      </c>
      <c r="AA13" s="42">
        <f>SUMIF(EFEITO!$B$2:$B$391,$Q$13,EFEITO!$AE$2:$AE$391)</f>
        <v>0</v>
      </c>
      <c r="AB13" s="42">
        <f>SUMIF(EFEITO!$B$2:$B$391,$Q$13,EFEITO!$AF$2:$AF$391)</f>
        <v>0</v>
      </c>
      <c r="AC13" s="42">
        <f>SUMIF(EFEITO!$B$2:$B$391,$Q$13,EFEITO!$AG$2:$AH$391)</f>
        <v>0</v>
      </c>
      <c r="AD13" s="42">
        <f>SUMIF(SUBSIDIO!$B$2:$B$391,$Q$13,SUBSIDIO!$AD$2:$AD$391)</f>
        <v>0</v>
      </c>
      <c r="AE13" s="42">
        <f>SUMIF(SUBSIDIO!$B$2:$B$391,$Q$13,SUBSIDIO!$AE$2:$AE$391)</f>
        <v>0</v>
      </c>
      <c r="AF13" s="42" t="str">
        <f>IF(ABS($X$13-$AA$13)&lt;0.01,"OK","ERRO")</f>
        <v>OK</v>
      </c>
      <c r="AG13" s="42" t="str">
        <f>IF(ABS($Y$13-$AB$13)&lt;0.01,"OK","ERRO")</f>
        <v>OK</v>
      </c>
      <c r="AH13" s="42" t="str">
        <f>IF(ABS($Z$13-$AC$13)&lt;0.01,"OK","ERRO")</f>
        <v>OK</v>
      </c>
      <c r="AI13" s="42" t="str">
        <f>IF(ABS($U$13-$AD$13)&lt;0.01,"OK","ERRO")</f>
        <v>OK</v>
      </c>
      <c r="AJ13" s="42" t="str">
        <f>IF(ABS(($V$13+$W$13)-$AE$13)&lt;0.01,"OK","ERRO")</f>
        <v>OK</v>
      </c>
    </row>
    <row r="14" spans="1:40" ht="11.25" customHeight="1" x14ac:dyDescent="0.2">
      <c r="A14" s="41" t="s">
        <v>21</v>
      </c>
      <c r="B14" s="41" t="s">
        <v>35</v>
      </c>
      <c r="C14" s="41" t="s">
        <v>36</v>
      </c>
      <c r="D14" s="41" t="s">
        <v>39</v>
      </c>
      <c r="E14" s="41" t="s">
        <v>25</v>
      </c>
      <c r="F14" s="41" t="s">
        <v>25</v>
      </c>
      <c r="G14" s="41" t="s">
        <v>25</v>
      </c>
      <c r="H14" s="41" t="s">
        <v>25</v>
      </c>
      <c r="I14" s="60">
        <v>44440</v>
      </c>
      <c r="J14" s="61">
        <f ca="1">EFEITO!$J$14*EFEITO!$Y$14</f>
        <v>2922.5431940286885</v>
      </c>
      <c r="K14" s="61">
        <f>EFEITO!$L$14*EFEITO!$Z$14</f>
        <v>0</v>
      </c>
      <c r="L14" s="61">
        <f>EFEITO!$N$14*EFEITO!$AA$14</f>
        <v>0</v>
      </c>
      <c r="M14" s="61">
        <f ca="1">$J$14-EFEITO!$K$14*EFEITO!$Y$14</f>
        <v>0</v>
      </c>
      <c r="N14" s="61">
        <f>$K$14-EFEITO!$M$14*EFEITO!$Z$14</f>
        <v>0</v>
      </c>
      <c r="O14" s="61">
        <f>$L$14-EFEITO!$O$14*EFEITO!$AA$14</f>
        <v>0</v>
      </c>
      <c r="P14" s="45"/>
      <c r="Q14" s="45"/>
      <c r="R14" s="45"/>
      <c r="S14" s="45"/>
      <c r="T14" s="45"/>
      <c r="U14" s="45"/>
      <c r="V14" s="45"/>
      <c r="W14" s="4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41" t="s">
        <v>21</v>
      </c>
      <c r="B15" s="41" t="s">
        <v>35</v>
      </c>
      <c r="C15" s="41" t="s">
        <v>36</v>
      </c>
      <c r="D15" s="41" t="s">
        <v>39</v>
      </c>
      <c r="E15" s="41" t="s">
        <v>25</v>
      </c>
      <c r="F15" s="41" t="s">
        <v>25</v>
      </c>
      <c r="G15" s="41" t="s">
        <v>25</v>
      </c>
      <c r="H15" s="41" t="s">
        <v>25</v>
      </c>
      <c r="I15" s="60">
        <v>44470</v>
      </c>
      <c r="J15" s="61">
        <f ca="1">EFEITO!$J$15*EFEITO!$Y$15</f>
        <v>2833.0775860482186</v>
      </c>
      <c r="K15" s="61">
        <f>EFEITO!$L$15*EFEITO!$Z$15</f>
        <v>0</v>
      </c>
      <c r="L15" s="61">
        <f>EFEITO!$N$15*EFEITO!$AA$15</f>
        <v>0</v>
      </c>
      <c r="M15" s="61">
        <f ca="1">$J$15-EFEITO!$K$15*EFEITO!$Y$15</f>
        <v>0</v>
      </c>
      <c r="N15" s="61">
        <f>$K$15-EFEITO!$M$15*EFEITO!$Z$15</f>
        <v>0</v>
      </c>
      <c r="O15" s="61">
        <f>$L$15-EFEITO!$O$15*EFEITO!$AA$15</f>
        <v>0</v>
      </c>
      <c r="P15" s="45"/>
      <c r="Q15" s="45"/>
      <c r="R15" s="45"/>
      <c r="S15" s="45"/>
      <c r="T15" s="45"/>
      <c r="U15" s="45"/>
      <c r="V15" s="45"/>
      <c r="W15" s="4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41" t="s">
        <v>21</v>
      </c>
      <c r="B16" s="41" t="s">
        <v>35</v>
      </c>
      <c r="C16" s="41" t="s">
        <v>36</v>
      </c>
      <c r="D16" s="41" t="s">
        <v>39</v>
      </c>
      <c r="E16" s="41" t="s">
        <v>25</v>
      </c>
      <c r="F16" s="41" t="s">
        <v>25</v>
      </c>
      <c r="G16" s="41" t="s">
        <v>25</v>
      </c>
      <c r="H16" s="41" t="s">
        <v>25</v>
      </c>
      <c r="I16" s="60">
        <v>44501</v>
      </c>
      <c r="J16" s="61">
        <f ca="1">EFEITO!$J$16*EFEITO!$Y$16</f>
        <v>2982.1869326823353</v>
      </c>
      <c r="K16" s="61">
        <f>EFEITO!$L$16*EFEITO!$Z$16</f>
        <v>0</v>
      </c>
      <c r="L16" s="61">
        <f>EFEITO!$N$16*EFEITO!$AA$16</f>
        <v>0</v>
      </c>
      <c r="M16" s="61">
        <f ca="1">$J$16-EFEITO!$K$16*EFEITO!$Y$16</f>
        <v>0</v>
      </c>
      <c r="N16" s="61">
        <f>$K$16-EFEITO!$M$16*EFEITO!$Z$16</f>
        <v>0</v>
      </c>
      <c r="O16" s="61">
        <f>$L$16-EFEITO!$O$16*EFEITO!$AA$16</f>
        <v>0</v>
      </c>
      <c r="P16" s="45"/>
      <c r="Q16" s="45"/>
      <c r="R16" s="45"/>
      <c r="S16" s="45"/>
      <c r="T16" s="45"/>
      <c r="U16" s="45"/>
      <c r="V16" s="45"/>
      <c r="W16" s="4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41" t="s">
        <v>21</v>
      </c>
      <c r="B17" s="41" t="s">
        <v>35</v>
      </c>
      <c r="C17" s="41" t="s">
        <v>36</v>
      </c>
      <c r="D17" s="41" t="s">
        <v>39</v>
      </c>
      <c r="E17" s="41" t="s">
        <v>25</v>
      </c>
      <c r="F17" s="41" t="s">
        <v>25</v>
      </c>
      <c r="G17" s="41" t="s">
        <v>25</v>
      </c>
      <c r="H17" s="41" t="s">
        <v>25</v>
      </c>
      <c r="I17" s="60">
        <v>44531</v>
      </c>
      <c r="J17" s="61">
        <f ca="1">EFEITO!$J$17*EFEITO!$Y$17</f>
        <v>3340.0493646042155</v>
      </c>
      <c r="K17" s="61">
        <f>EFEITO!$L$17*EFEITO!$Z$17</f>
        <v>0</v>
      </c>
      <c r="L17" s="61">
        <f>EFEITO!$N$17*EFEITO!$AA$17</f>
        <v>0</v>
      </c>
      <c r="M17" s="61">
        <f ca="1">$J$17-EFEITO!$K$17*EFEITO!$Y$17</f>
        <v>0</v>
      </c>
      <c r="N17" s="61">
        <f>$K$17-EFEITO!$M$17*EFEITO!$Z$17</f>
        <v>0</v>
      </c>
      <c r="O17" s="61">
        <f>$L$17-EFEITO!$O$17*EFEITO!$AA$17</f>
        <v>0</v>
      </c>
      <c r="P17" s="45"/>
      <c r="Q17" s="45"/>
      <c r="R17" s="45"/>
      <c r="S17" s="45"/>
      <c r="T17" s="45"/>
      <c r="U17" s="45"/>
      <c r="V17" s="45"/>
      <c r="W17" s="4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41" t="s">
        <v>21</v>
      </c>
      <c r="B18" s="41" t="s">
        <v>35</v>
      </c>
      <c r="C18" s="41" t="s">
        <v>36</v>
      </c>
      <c r="D18" s="41" t="s">
        <v>39</v>
      </c>
      <c r="E18" s="41" t="s">
        <v>25</v>
      </c>
      <c r="F18" s="41" t="s">
        <v>25</v>
      </c>
      <c r="G18" s="41" t="s">
        <v>25</v>
      </c>
      <c r="H18" s="41" t="s">
        <v>25</v>
      </c>
      <c r="I18" s="60">
        <v>44562</v>
      </c>
      <c r="J18" s="61">
        <f ca="1">EFEITO!$J$18*EFEITO!$Y$18</f>
        <v>3429.5149725846859</v>
      </c>
      <c r="K18" s="61">
        <f>EFEITO!$L$18*EFEITO!$Z$18</f>
        <v>0</v>
      </c>
      <c r="L18" s="61">
        <f>EFEITO!$N$18*EFEITO!$AA$18</f>
        <v>0</v>
      </c>
      <c r="M18" s="61">
        <f ca="1">$J$18-EFEITO!$K$18*EFEITO!$Y$18</f>
        <v>0</v>
      </c>
      <c r="N18" s="61">
        <f>$K$18-EFEITO!$M$18*EFEITO!$Z$18</f>
        <v>0</v>
      </c>
      <c r="O18" s="61">
        <f>$L$18-EFEITO!$O$18*EFEITO!$AA$18</f>
        <v>0</v>
      </c>
      <c r="P18" s="45"/>
      <c r="Q18" s="45"/>
      <c r="R18" s="45"/>
      <c r="S18" s="45"/>
      <c r="T18" s="45"/>
      <c r="U18" s="45"/>
      <c r="V18" s="45"/>
      <c r="W18" s="4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41" t="s">
        <v>21</v>
      </c>
      <c r="B19" s="41" t="s">
        <v>35</v>
      </c>
      <c r="C19" s="41" t="s">
        <v>36</v>
      </c>
      <c r="D19" s="41" t="s">
        <v>39</v>
      </c>
      <c r="E19" s="41" t="s">
        <v>25</v>
      </c>
      <c r="F19" s="41" t="s">
        <v>25</v>
      </c>
      <c r="G19" s="41" t="s">
        <v>25</v>
      </c>
      <c r="H19" s="41" t="s">
        <v>25</v>
      </c>
      <c r="I19" s="60">
        <v>44593</v>
      </c>
      <c r="J19" s="61">
        <f ca="1">EFEITO!$J$19*EFEITO!$Y$19</f>
        <v>3280.4056259505687</v>
      </c>
      <c r="K19" s="61">
        <f>EFEITO!$L$19*EFEITO!$Z$19</f>
        <v>0</v>
      </c>
      <c r="L19" s="61">
        <f>EFEITO!$N$19*EFEITO!$AA$19</f>
        <v>0</v>
      </c>
      <c r="M19" s="61">
        <f ca="1">$J$19-EFEITO!$K$19*EFEITO!$Y$19</f>
        <v>0</v>
      </c>
      <c r="N19" s="61">
        <f>$K$19-EFEITO!$M$19*EFEITO!$Z$19</f>
        <v>0</v>
      </c>
      <c r="O19" s="61">
        <f>$L$19-EFEITO!$O$19*EFEITO!$AA$19</f>
        <v>0</v>
      </c>
      <c r="P19" s="45"/>
      <c r="Q19" s="45"/>
      <c r="R19" s="45"/>
      <c r="S19" s="45"/>
      <c r="T19" s="45"/>
      <c r="U19" s="45"/>
      <c r="V19" s="45"/>
      <c r="W19" s="4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41" t="s">
        <v>21</v>
      </c>
      <c r="B20" s="41" t="s">
        <v>35</v>
      </c>
      <c r="C20" s="41" t="s">
        <v>36</v>
      </c>
      <c r="D20" s="41" t="s">
        <v>39</v>
      </c>
      <c r="E20" s="41" t="s">
        <v>25</v>
      </c>
      <c r="F20" s="41" t="s">
        <v>25</v>
      </c>
      <c r="G20" s="41" t="s">
        <v>25</v>
      </c>
      <c r="H20" s="41" t="s">
        <v>25</v>
      </c>
      <c r="I20" s="60">
        <v>44621</v>
      </c>
      <c r="J20" s="61">
        <f ca="1">EFEITO!$J$20*EFEITO!$Y$20</f>
        <v>3280.4056259505687</v>
      </c>
      <c r="K20" s="61">
        <f>EFEITO!$L$20*EFEITO!$Z$20</f>
        <v>0</v>
      </c>
      <c r="L20" s="61">
        <f>EFEITO!$N$20*EFEITO!$AA$20</f>
        <v>0</v>
      </c>
      <c r="M20" s="61">
        <f ca="1">$J$20-EFEITO!$K$20*EFEITO!$Y$20</f>
        <v>0</v>
      </c>
      <c r="N20" s="61">
        <f>$K$20-EFEITO!$M$20*EFEITO!$Z$20</f>
        <v>0</v>
      </c>
      <c r="O20" s="61">
        <f>$L$20-EFEITO!$O$20*EFEITO!$AA$20</f>
        <v>0</v>
      </c>
      <c r="P20" s="45"/>
      <c r="Q20" s="45"/>
      <c r="R20" s="45"/>
      <c r="S20" s="45"/>
      <c r="T20" s="45"/>
      <c r="U20" s="45"/>
      <c r="V20" s="45"/>
      <c r="W20" s="4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41" t="s">
        <v>21</v>
      </c>
      <c r="B21" s="41" t="s">
        <v>35</v>
      </c>
      <c r="C21" s="41" t="s">
        <v>36</v>
      </c>
      <c r="D21" s="41" t="s">
        <v>39</v>
      </c>
      <c r="E21" s="41" t="s">
        <v>25</v>
      </c>
      <c r="F21" s="41" t="s">
        <v>25</v>
      </c>
      <c r="G21" s="41" t="s">
        <v>25</v>
      </c>
      <c r="H21" s="41" t="s">
        <v>25</v>
      </c>
      <c r="I21" s="60">
        <v>44652</v>
      </c>
      <c r="J21" s="61">
        <f ca="1">EFEITO!$J$21*EFEITO!$Y$21</f>
        <v>3280.4056259505687</v>
      </c>
      <c r="K21" s="61">
        <f>EFEITO!$L$21*EFEITO!$Z$21</f>
        <v>0</v>
      </c>
      <c r="L21" s="61">
        <f>EFEITO!$N$21*EFEITO!$AA$21</f>
        <v>0</v>
      </c>
      <c r="M21" s="61">
        <f ca="1">$J$21-EFEITO!$K$21*EFEITO!$Y$21</f>
        <v>0</v>
      </c>
      <c r="N21" s="61">
        <f>$K$21-EFEITO!$M$21*EFEITO!$Z$21</f>
        <v>0</v>
      </c>
      <c r="O21" s="61">
        <f>$L$21-EFEITO!$O$21*EFEITO!$AA$21</f>
        <v>0</v>
      </c>
      <c r="P21" s="45"/>
      <c r="Q21" s="45"/>
      <c r="R21" s="45"/>
      <c r="S21" s="45"/>
      <c r="T21" s="45"/>
      <c r="U21" s="45"/>
      <c r="V21" s="45"/>
      <c r="W21" s="4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41" t="s">
        <v>21</v>
      </c>
      <c r="B22" s="41" t="s">
        <v>35</v>
      </c>
      <c r="C22" s="41" t="s">
        <v>36</v>
      </c>
      <c r="D22" s="41" t="s">
        <v>39</v>
      </c>
      <c r="E22" s="41" t="s">
        <v>25</v>
      </c>
      <c r="F22" s="41" t="s">
        <v>25</v>
      </c>
      <c r="G22" s="41" t="s">
        <v>25</v>
      </c>
      <c r="H22" s="41" t="s">
        <v>25</v>
      </c>
      <c r="I22" s="60">
        <v>44682</v>
      </c>
      <c r="J22" s="61">
        <f ca="1">EFEITO!$J$22*EFEITO!$Y$22</f>
        <v>3280.4056259505687</v>
      </c>
      <c r="K22" s="61">
        <f>EFEITO!$L$22*EFEITO!$Z$22</f>
        <v>0</v>
      </c>
      <c r="L22" s="61">
        <f>EFEITO!$N$22*EFEITO!$AA$22</f>
        <v>0</v>
      </c>
      <c r="M22" s="61">
        <f ca="1">$J$22-EFEITO!$K$22*EFEITO!$Y$22</f>
        <v>0</v>
      </c>
      <c r="N22" s="61">
        <f>$K$22-EFEITO!$M$22*EFEITO!$Z$22</f>
        <v>0</v>
      </c>
      <c r="O22" s="61">
        <f>$L$22-EFEITO!$O$22*EFEITO!$AA$22</f>
        <v>0</v>
      </c>
      <c r="P22" s="45"/>
      <c r="Q22" s="45"/>
      <c r="R22" s="45"/>
      <c r="S22" s="45"/>
      <c r="T22" s="45"/>
      <c r="U22" s="45"/>
      <c r="V22" s="45"/>
      <c r="W22" s="4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41" t="s">
        <v>21</v>
      </c>
      <c r="B23" s="41" t="s">
        <v>35</v>
      </c>
      <c r="C23" s="41" t="s">
        <v>36</v>
      </c>
      <c r="D23" s="41" t="s">
        <v>39</v>
      </c>
      <c r="E23" s="41" t="s">
        <v>25</v>
      </c>
      <c r="F23" s="41" t="s">
        <v>25</v>
      </c>
      <c r="G23" s="41" t="s">
        <v>25</v>
      </c>
      <c r="H23" s="41" t="s">
        <v>25</v>
      </c>
      <c r="I23" s="60">
        <v>44713</v>
      </c>
      <c r="J23" s="61">
        <f ca="1">EFEITO!$J$23*EFEITO!$Y$23</f>
        <v>3280.4056259505687</v>
      </c>
      <c r="K23" s="61">
        <f>EFEITO!$L$23*EFEITO!$Z$23</f>
        <v>0</v>
      </c>
      <c r="L23" s="61">
        <f>EFEITO!$N$23*EFEITO!$AA$23</f>
        <v>0</v>
      </c>
      <c r="M23" s="61">
        <f ca="1">$J$23-EFEITO!$K$23*EFEITO!$Y$23</f>
        <v>0</v>
      </c>
      <c r="N23" s="61">
        <f>$K$23-EFEITO!$M$23*EFEITO!$Z$23</f>
        <v>0</v>
      </c>
      <c r="O23" s="61">
        <f>$L$23-EFEITO!$O$23*EFEITO!$AA$23</f>
        <v>0</v>
      </c>
      <c r="P23" s="45"/>
      <c r="Q23" s="45"/>
      <c r="R23" s="45"/>
      <c r="S23" s="45"/>
      <c r="T23" s="45"/>
      <c r="U23" s="45"/>
      <c r="V23" s="45"/>
      <c r="W23" s="4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41" t="s">
        <v>21</v>
      </c>
      <c r="B24" s="41" t="s">
        <v>35</v>
      </c>
      <c r="C24" s="41" t="s">
        <v>36</v>
      </c>
      <c r="D24" s="41" t="s">
        <v>39</v>
      </c>
      <c r="E24" s="41" t="s">
        <v>25</v>
      </c>
      <c r="F24" s="41" t="s">
        <v>25</v>
      </c>
      <c r="G24" s="41" t="s">
        <v>25</v>
      </c>
      <c r="H24" s="41" t="s">
        <v>25</v>
      </c>
      <c r="I24" s="60">
        <v>44743</v>
      </c>
      <c r="J24" s="61">
        <f ca="1">EFEITO!$J$24*EFEITO!$Y$24</f>
        <v>2534.8588927799851</v>
      </c>
      <c r="K24" s="61">
        <f>EFEITO!$L$24*EFEITO!$Z$24</f>
        <v>0</v>
      </c>
      <c r="L24" s="61">
        <f>EFEITO!$N$24*EFEITO!$AA$24</f>
        <v>0</v>
      </c>
      <c r="M24" s="61">
        <f ca="1">$J$24-EFEITO!$K$24*EFEITO!$Y$24</f>
        <v>0</v>
      </c>
      <c r="N24" s="61">
        <f>$K$24-EFEITO!$M$24*EFEITO!$Z$24</f>
        <v>0</v>
      </c>
      <c r="O24" s="61">
        <f>$L$24-EFEITO!$O$24*EFEITO!$AA$24</f>
        <v>0</v>
      </c>
      <c r="P24" s="45"/>
      <c r="Q24" s="45"/>
      <c r="R24" s="45"/>
      <c r="S24" s="45"/>
      <c r="T24" s="45"/>
      <c r="U24" s="45"/>
      <c r="V24" s="45"/>
      <c r="W24" s="45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41" t="s">
        <v>55</v>
      </c>
      <c r="B25" s="41" t="s">
        <v>35</v>
      </c>
      <c r="C25" s="41" t="s">
        <v>36</v>
      </c>
      <c r="D25" s="41" t="s">
        <v>39</v>
      </c>
      <c r="E25" s="41" t="s">
        <v>25</v>
      </c>
      <c r="F25" s="41" t="s">
        <v>25</v>
      </c>
      <c r="G25" s="41" t="s">
        <v>25</v>
      </c>
      <c r="H25" s="41" t="s">
        <v>25</v>
      </c>
      <c r="I25" s="60">
        <v>44774</v>
      </c>
      <c r="J25" s="61">
        <f ca="1">EFEITO!$J$25*EFEITO!$Y$25</f>
        <v>2534.8588927799851</v>
      </c>
      <c r="K25" s="61">
        <f>EFEITO!$L$25*EFEITO!$Z$25</f>
        <v>0</v>
      </c>
      <c r="L25" s="61">
        <f>EFEITO!$N$25*EFEITO!$AA$25</f>
        <v>0</v>
      </c>
      <c r="M25" s="61">
        <f ca="1">$J$25-EFEITO!$K$25*EFEITO!$Y$25</f>
        <v>0</v>
      </c>
      <c r="N25" s="61">
        <f>$K$25-EFEITO!$M$25*EFEITO!$Z$25</f>
        <v>0</v>
      </c>
      <c r="O25" s="61">
        <f>$L$25-EFEITO!$O$25*EFEITO!$AA$25</f>
        <v>0</v>
      </c>
      <c r="P25" s="45"/>
      <c r="Q25" s="45"/>
      <c r="R25" s="45"/>
      <c r="S25" s="45"/>
      <c r="T25" s="45"/>
      <c r="U25" s="45"/>
      <c r="V25" s="45"/>
      <c r="W25" s="4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41" t="s">
        <v>21</v>
      </c>
      <c r="B26" s="41" t="s">
        <v>35</v>
      </c>
      <c r="C26" s="41" t="s">
        <v>36</v>
      </c>
      <c r="D26" s="41" t="s">
        <v>39</v>
      </c>
      <c r="E26" s="41" t="s">
        <v>25</v>
      </c>
      <c r="F26" s="41" t="s">
        <v>25</v>
      </c>
      <c r="G26" s="41" t="s">
        <v>25</v>
      </c>
      <c r="H26" s="41" t="s">
        <v>37</v>
      </c>
      <c r="I26" s="60">
        <v>44440</v>
      </c>
      <c r="J26" s="61">
        <f>EFEITO!$J$26*EFEITO!$Y$26</f>
        <v>0</v>
      </c>
      <c r="K26" s="61">
        <f ca="1">EFEITO!$L$26*EFEITO!$Z$26</f>
        <v>5354.3479104215257</v>
      </c>
      <c r="L26" s="61">
        <f>EFEITO!$N$26*EFEITO!$AA$26</f>
        <v>451.73277075936528</v>
      </c>
      <c r="M26" s="61">
        <f>$J$26-EFEITO!$K$26*EFEITO!$Y$26</f>
        <v>0</v>
      </c>
      <c r="N26" s="61">
        <f ca="1">$K$26-EFEITO!$M$26*EFEITO!$Z$26</f>
        <v>0</v>
      </c>
      <c r="O26" s="61">
        <f>$L$26-EFEITO!$O$26*EFEITO!$AA$26</f>
        <v>0</v>
      </c>
      <c r="P26" s="45"/>
      <c r="Q26" s="45"/>
      <c r="R26" s="45"/>
      <c r="S26" s="45"/>
      <c r="T26" s="45"/>
      <c r="U26" s="45"/>
      <c r="V26" s="45"/>
      <c r="W26" s="4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41" t="s">
        <v>21</v>
      </c>
      <c r="B27" s="41" t="s">
        <v>35</v>
      </c>
      <c r="C27" s="41" t="s">
        <v>36</v>
      </c>
      <c r="D27" s="41" t="s">
        <v>39</v>
      </c>
      <c r="E27" s="41" t="s">
        <v>25</v>
      </c>
      <c r="F27" s="41" t="s">
        <v>25</v>
      </c>
      <c r="G27" s="41" t="s">
        <v>25</v>
      </c>
      <c r="H27" s="41" t="s">
        <v>37</v>
      </c>
      <c r="I27" s="60">
        <v>44470</v>
      </c>
      <c r="J27" s="61">
        <f>EFEITO!$J$27*EFEITO!$Y$27</f>
        <v>0</v>
      </c>
      <c r="K27" s="61">
        <f ca="1">EFEITO!$L$27*EFEITO!$Z$27</f>
        <v>4976.2607641042341</v>
      </c>
      <c r="L27" s="61">
        <f>EFEITO!$N$27*EFEITO!$AA$27</f>
        <v>419.83451591081808</v>
      </c>
      <c r="M27" s="61">
        <f>$J$27-EFEITO!$K$27*EFEITO!$Y$27</f>
        <v>0</v>
      </c>
      <c r="N27" s="61">
        <f ca="1">$K$27-EFEITO!$M$27*EFEITO!$Z$27</f>
        <v>0</v>
      </c>
      <c r="O27" s="61">
        <f>$L$27-EFEITO!$O$27*EFEITO!$AA$27</f>
        <v>0</v>
      </c>
      <c r="P27" s="45"/>
      <c r="Q27" s="45"/>
      <c r="R27" s="45"/>
      <c r="S27" s="45"/>
      <c r="T27" s="45"/>
      <c r="U27" s="45"/>
      <c r="V27" s="45"/>
      <c r="W27" s="4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41" t="s">
        <v>21</v>
      </c>
      <c r="B28" s="41" t="s">
        <v>35</v>
      </c>
      <c r="C28" s="41" t="s">
        <v>36</v>
      </c>
      <c r="D28" s="41" t="s">
        <v>39</v>
      </c>
      <c r="E28" s="41" t="s">
        <v>25</v>
      </c>
      <c r="F28" s="41" t="s">
        <v>25</v>
      </c>
      <c r="G28" s="41" t="s">
        <v>25</v>
      </c>
      <c r="H28" s="41" t="s">
        <v>37</v>
      </c>
      <c r="I28" s="60">
        <v>44501</v>
      </c>
      <c r="J28" s="61">
        <f>EFEITO!$J$28*EFEITO!$Y$28</f>
        <v>0</v>
      </c>
      <c r="K28" s="61">
        <f ca="1">EFEITO!$L$28*EFEITO!$Z$28</f>
        <v>5616.971317444315</v>
      </c>
      <c r="L28" s="61">
        <f>EFEITO!$N$28*EFEITO!$AA$28</f>
        <v>473.88964239069139</v>
      </c>
      <c r="M28" s="61">
        <f>$J$28-EFEITO!$K$28*EFEITO!$Y$28</f>
        <v>0</v>
      </c>
      <c r="N28" s="61">
        <f ca="1">$K$28-EFEITO!$M$28*EFEITO!$Z$28</f>
        <v>0</v>
      </c>
      <c r="O28" s="61">
        <f>$L$28-EFEITO!$O$28*EFEITO!$AA$28</f>
        <v>0</v>
      </c>
      <c r="P28" s="45"/>
      <c r="Q28" s="45"/>
      <c r="R28" s="45"/>
      <c r="S28" s="45"/>
      <c r="T28" s="45"/>
      <c r="U28" s="45"/>
      <c r="V28" s="45"/>
      <c r="W28" s="45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41" t="s">
        <v>21</v>
      </c>
      <c r="B29" s="41" t="s">
        <v>35</v>
      </c>
      <c r="C29" s="41" t="s">
        <v>36</v>
      </c>
      <c r="D29" s="41" t="s">
        <v>39</v>
      </c>
      <c r="E29" s="41" t="s">
        <v>25</v>
      </c>
      <c r="F29" s="41" t="s">
        <v>25</v>
      </c>
      <c r="G29" s="41" t="s">
        <v>25</v>
      </c>
      <c r="H29" s="41" t="s">
        <v>37</v>
      </c>
      <c r="I29" s="60">
        <v>44531</v>
      </c>
      <c r="J29" s="61">
        <f>EFEITO!$J$29*EFEITO!$Y$29</f>
        <v>0</v>
      </c>
      <c r="K29" s="61">
        <f ca="1">EFEITO!$L$29*EFEITO!$Z$29</f>
        <v>7314.9674835399355</v>
      </c>
      <c r="L29" s="61">
        <f>EFEITO!$N$29*EFEITO!$AA$29</f>
        <v>617.14527793805883</v>
      </c>
      <c r="M29" s="61">
        <f>$J$29-EFEITO!$K$29*EFEITO!$Y$29</f>
        <v>0</v>
      </c>
      <c r="N29" s="61">
        <f ca="1">$K$29-EFEITO!$M$29*EFEITO!$Z$29</f>
        <v>0</v>
      </c>
      <c r="O29" s="61">
        <f>$L$29-EFEITO!$O$29*EFEITO!$AA$29</f>
        <v>0</v>
      </c>
      <c r="P29" s="45"/>
      <c r="Q29" s="45"/>
      <c r="R29" s="45"/>
      <c r="S29" s="45"/>
      <c r="T29" s="45"/>
      <c r="U29" s="45"/>
      <c r="V29" s="45"/>
      <c r="W29" s="4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41" t="s">
        <v>21</v>
      </c>
      <c r="B30" s="41" t="s">
        <v>35</v>
      </c>
      <c r="C30" s="41" t="s">
        <v>36</v>
      </c>
      <c r="D30" s="41" t="s">
        <v>39</v>
      </c>
      <c r="E30" s="41" t="s">
        <v>25</v>
      </c>
      <c r="F30" s="41" t="s">
        <v>25</v>
      </c>
      <c r="G30" s="41" t="s">
        <v>25</v>
      </c>
      <c r="H30" s="41" t="s">
        <v>37</v>
      </c>
      <c r="I30" s="60">
        <v>44562</v>
      </c>
      <c r="J30" s="61">
        <f>EFEITO!$J$30*EFEITO!$Y$30</f>
        <v>0</v>
      </c>
      <c r="K30" s="61">
        <f ca="1">EFEITO!$L$30*EFEITO!$Z$30</f>
        <v>7391.9433097362717</v>
      </c>
      <c r="L30" s="61">
        <f>EFEITO!$N$30*EFEITO!$AA$30</f>
        <v>623.63953341620618</v>
      </c>
      <c r="M30" s="61">
        <f>$J$30-EFEITO!$K$30*EFEITO!$Y$30</f>
        <v>0</v>
      </c>
      <c r="N30" s="61">
        <f ca="1">$K$30-EFEITO!$M$30*EFEITO!$Z$30</f>
        <v>0</v>
      </c>
      <c r="O30" s="61">
        <f>$L$30-EFEITO!$O$30*EFEITO!$AA$30</f>
        <v>0</v>
      </c>
      <c r="P30" s="45"/>
      <c r="Q30" s="45"/>
      <c r="R30" s="45"/>
      <c r="S30" s="45"/>
      <c r="T30" s="45"/>
      <c r="U30" s="45"/>
      <c r="V30" s="45"/>
      <c r="W30" s="4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41" t="s">
        <v>21</v>
      </c>
      <c r="B31" s="41" t="s">
        <v>35</v>
      </c>
      <c r="C31" s="41" t="s">
        <v>36</v>
      </c>
      <c r="D31" s="41" t="s">
        <v>39</v>
      </c>
      <c r="E31" s="41" t="s">
        <v>25</v>
      </c>
      <c r="F31" s="41" t="s">
        <v>25</v>
      </c>
      <c r="G31" s="41" t="s">
        <v>25</v>
      </c>
      <c r="H31" s="41" t="s">
        <v>37</v>
      </c>
      <c r="I31" s="60">
        <v>44593</v>
      </c>
      <c r="J31" s="61">
        <f>EFEITO!$J$31*EFEITO!$Y$31</f>
        <v>0</v>
      </c>
      <c r="K31" s="61">
        <f ca="1">EFEITO!$L$31*EFEITO!$Z$31</f>
        <v>6916.5043832294978</v>
      </c>
      <c r="L31" s="61">
        <f>EFEITO!$N$31*EFEITO!$AA$31</f>
        <v>583.52795546294328</v>
      </c>
      <c r="M31" s="61">
        <f>$J$31-EFEITO!$K$31*EFEITO!$Y$31</f>
        <v>0</v>
      </c>
      <c r="N31" s="61">
        <f ca="1">$K$31-EFEITO!$M$31*EFEITO!$Z$31</f>
        <v>0</v>
      </c>
      <c r="O31" s="61">
        <f>$L$31-EFEITO!$O$31*EFEITO!$AA$31</f>
        <v>0</v>
      </c>
      <c r="P31" s="45"/>
      <c r="Q31" s="45"/>
      <c r="R31" s="45"/>
      <c r="S31" s="45"/>
      <c r="T31" s="45"/>
      <c r="U31" s="45"/>
      <c r="V31" s="45"/>
      <c r="W31" s="4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41" t="s">
        <v>21</v>
      </c>
      <c r="B32" s="41" t="s">
        <v>35</v>
      </c>
      <c r="C32" s="41" t="s">
        <v>36</v>
      </c>
      <c r="D32" s="41" t="s">
        <v>39</v>
      </c>
      <c r="E32" s="41" t="s">
        <v>25</v>
      </c>
      <c r="F32" s="41" t="s">
        <v>25</v>
      </c>
      <c r="G32" s="41" t="s">
        <v>25</v>
      </c>
      <c r="H32" s="41" t="s">
        <v>37</v>
      </c>
      <c r="I32" s="60">
        <v>44621</v>
      </c>
      <c r="J32" s="61">
        <f>EFEITO!$J$32*EFEITO!$Y$32</f>
        <v>0</v>
      </c>
      <c r="K32" s="61">
        <f ca="1">EFEITO!$L$32*EFEITO!$Z$32</f>
        <v>6388.9935742957905</v>
      </c>
      <c r="L32" s="61">
        <f>EFEITO!$N$32*EFEITO!$AA$32</f>
        <v>539.02320468622781</v>
      </c>
      <c r="M32" s="61">
        <f>$J$32-EFEITO!$K$32*EFEITO!$Y$32</f>
        <v>0</v>
      </c>
      <c r="N32" s="61">
        <f ca="1">$K$32-EFEITO!$M$32*EFEITO!$Z$32</f>
        <v>0</v>
      </c>
      <c r="O32" s="61">
        <f>$L$32-EFEITO!$O$32*EFEITO!$AA$32</f>
        <v>0</v>
      </c>
      <c r="P32" s="45"/>
      <c r="Q32" s="45"/>
      <c r="R32" s="45"/>
      <c r="S32" s="45"/>
      <c r="T32" s="45"/>
      <c r="U32" s="45"/>
      <c r="V32" s="45"/>
      <c r="W32" s="4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41" t="s">
        <v>21</v>
      </c>
      <c r="B33" s="41" t="s">
        <v>35</v>
      </c>
      <c r="C33" s="41" t="s">
        <v>36</v>
      </c>
      <c r="D33" s="41" t="s">
        <v>39</v>
      </c>
      <c r="E33" s="41" t="s">
        <v>25</v>
      </c>
      <c r="F33" s="41" t="s">
        <v>25</v>
      </c>
      <c r="G33" s="41" t="s">
        <v>25</v>
      </c>
      <c r="H33" s="41" t="s">
        <v>37</v>
      </c>
      <c r="I33" s="60">
        <v>44652</v>
      </c>
      <c r="J33" s="61">
        <f>EFEITO!$J$33*EFEITO!$Y$33</f>
        <v>0</v>
      </c>
      <c r="K33" s="61">
        <f ca="1">EFEITO!$L$33*EFEITO!$Z$33</f>
        <v>5829.7868369282996</v>
      </c>
      <c r="L33" s="61">
        <f>EFEITO!$N$33*EFEITO!$AA$33</f>
        <v>491.84434871262818</v>
      </c>
      <c r="M33" s="61">
        <f>$J$33-EFEITO!$K$33*EFEITO!$Y$33</f>
        <v>0</v>
      </c>
      <c r="N33" s="61">
        <f ca="1">$K$33-EFEITO!$M$33*EFEITO!$Z$33</f>
        <v>0</v>
      </c>
      <c r="O33" s="61">
        <f>$L$33-EFEITO!$O$33*EFEITO!$AA$33</f>
        <v>0</v>
      </c>
      <c r="P33" s="45"/>
      <c r="Q33" s="45"/>
      <c r="R33" s="45"/>
      <c r="S33" s="45"/>
      <c r="T33" s="45"/>
      <c r="U33" s="45"/>
      <c r="V33" s="45"/>
      <c r="W33" s="4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41" t="s">
        <v>21</v>
      </c>
      <c r="B34" s="41" t="s">
        <v>35</v>
      </c>
      <c r="C34" s="41" t="s">
        <v>36</v>
      </c>
      <c r="D34" s="41" t="s">
        <v>39</v>
      </c>
      <c r="E34" s="41" t="s">
        <v>25</v>
      </c>
      <c r="F34" s="41" t="s">
        <v>25</v>
      </c>
      <c r="G34" s="41" t="s">
        <v>25</v>
      </c>
      <c r="H34" s="41" t="s">
        <v>37</v>
      </c>
      <c r="I34" s="60">
        <v>44682</v>
      </c>
      <c r="J34" s="61">
        <f>EFEITO!$J$34*EFEITO!$Y$34</f>
        <v>0</v>
      </c>
      <c r="K34" s="61">
        <f ca="1">EFEITO!$L$34*EFEITO!$Z$34</f>
        <v>5807.1468880470247</v>
      </c>
      <c r="L34" s="61">
        <f>EFEITO!$N$34*EFEITO!$AA$34</f>
        <v>489.93427357199653</v>
      </c>
      <c r="M34" s="61">
        <f>$J$34-EFEITO!$K$34*EFEITO!$Y$34</f>
        <v>0</v>
      </c>
      <c r="N34" s="61">
        <f ca="1">$K$34-EFEITO!$M$34*EFEITO!$Z$34</f>
        <v>0</v>
      </c>
      <c r="O34" s="61">
        <f>$L$34-EFEITO!$O$34*EFEITO!$AA$34</f>
        <v>0</v>
      </c>
      <c r="P34" s="45"/>
      <c r="Q34" s="45"/>
      <c r="R34" s="45"/>
      <c r="S34" s="45"/>
      <c r="T34" s="45"/>
      <c r="U34" s="45"/>
      <c r="V34" s="45"/>
      <c r="W34" s="4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41" t="s">
        <v>21</v>
      </c>
      <c r="B35" s="41" t="s">
        <v>35</v>
      </c>
      <c r="C35" s="41" t="s">
        <v>36</v>
      </c>
      <c r="D35" s="41" t="s">
        <v>39</v>
      </c>
      <c r="E35" s="41" t="s">
        <v>25</v>
      </c>
      <c r="F35" s="41" t="s">
        <v>25</v>
      </c>
      <c r="G35" s="41" t="s">
        <v>25</v>
      </c>
      <c r="H35" s="41" t="s">
        <v>37</v>
      </c>
      <c r="I35" s="60">
        <v>44713</v>
      </c>
      <c r="J35" s="61">
        <f>EFEITO!$J$35*EFEITO!$Y$35</f>
        <v>0</v>
      </c>
      <c r="K35" s="61">
        <f ca="1">EFEITO!$L$35*EFEITO!$Z$35</f>
        <v>5234.3561813507677</v>
      </c>
      <c r="L35" s="61">
        <f>EFEITO!$N$35*EFEITO!$AA$35</f>
        <v>441.60937251401793</v>
      </c>
      <c r="M35" s="61">
        <f>$J$35-EFEITO!$K$35*EFEITO!$Y$35</f>
        <v>0</v>
      </c>
      <c r="N35" s="61">
        <f ca="1">$K$35-EFEITO!$M$35*EFEITO!$Z$35</f>
        <v>0</v>
      </c>
      <c r="O35" s="61">
        <f>$L$35-EFEITO!$O$35*EFEITO!$AA$35</f>
        <v>0</v>
      </c>
      <c r="P35" s="45"/>
      <c r="Q35" s="45"/>
      <c r="R35" s="45"/>
      <c r="S35" s="45"/>
      <c r="T35" s="45"/>
      <c r="U35" s="45"/>
      <c r="V35" s="45"/>
      <c r="W35" s="4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41" t="s">
        <v>21</v>
      </c>
      <c r="B36" s="41" t="s">
        <v>35</v>
      </c>
      <c r="C36" s="41" t="s">
        <v>36</v>
      </c>
      <c r="D36" s="41" t="s">
        <v>39</v>
      </c>
      <c r="E36" s="41" t="s">
        <v>25</v>
      </c>
      <c r="F36" s="41" t="s">
        <v>25</v>
      </c>
      <c r="G36" s="41" t="s">
        <v>25</v>
      </c>
      <c r="H36" s="41" t="s">
        <v>37</v>
      </c>
      <c r="I36" s="60">
        <v>44743</v>
      </c>
      <c r="J36" s="61">
        <f>EFEITO!$J$36*EFEITO!$Y$36</f>
        <v>0</v>
      </c>
      <c r="K36" s="61">
        <f ca="1">EFEITO!$L$36*EFEITO!$Z$36</f>
        <v>5444.9077059466254</v>
      </c>
      <c r="L36" s="61">
        <f>EFEITO!$N$36*EFEITO!$AA$36</f>
        <v>459.37307132189147</v>
      </c>
      <c r="M36" s="61">
        <f>$J$36-EFEITO!$K$36*EFEITO!$Y$36</f>
        <v>0</v>
      </c>
      <c r="N36" s="61">
        <f ca="1">$K$36-EFEITO!$M$36*EFEITO!$Z$36</f>
        <v>0</v>
      </c>
      <c r="O36" s="61">
        <f>$L$36-EFEITO!$O$36*EFEITO!$AA$36</f>
        <v>0</v>
      </c>
      <c r="P36" s="45"/>
      <c r="Q36" s="45"/>
      <c r="R36" s="45"/>
      <c r="S36" s="45"/>
      <c r="T36" s="45"/>
      <c r="U36" s="45"/>
      <c r="V36" s="45"/>
      <c r="W36" s="4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41" t="s">
        <v>55</v>
      </c>
      <c r="B37" s="41" t="s">
        <v>35</v>
      </c>
      <c r="C37" s="41" t="s">
        <v>36</v>
      </c>
      <c r="D37" s="41" t="s">
        <v>39</v>
      </c>
      <c r="E37" s="41" t="s">
        <v>25</v>
      </c>
      <c r="F37" s="41" t="s">
        <v>25</v>
      </c>
      <c r="G37" s="41" t="s">
        <v>25</v>
      </c>
      <c r="H37" s="41" t="s">
        <v>37</v>
      </c>
      <c r="I37" s="60">
        <v>44774</v>
      </c>
      <c r="J37" s="61">
        <f>EFEITO!$J$37*EFEITO!$Y$37</f>
        <v>0</v>
      </c>
      <c r="K37" s="61">
        <f ca="1">EFEITO!$L$37*EFEITO!$Z$37</f>
        <v>5444.9077059466254</v>
      </c>
      <c r="L37" s="61">
        <f>EFEITO!$N$37*EFEITO!$AA$37</f>
        <v>459.37307132189147</v>
      </c>
      <c r="M37" s="61">
        <f>$J$37-EFEITO!$K$37*EFEITO!$Y$37</f>
        <v>0</v>
      </c>
      <c r="N37" s="61">
        <f ca="1">$K$37-EFEITO!$M$37*EFEITO!$Z$37</f>
        <v>0</v>
      </c>
      <c r="O37" s="61">
        <f>$L$37-EFEITO!$O$37*EFEITO!$AA$37</f>
        <v>0</v>
      </c>
      <c r="P37" s="45"/>
      <c r="Q37" s="45"/>
      <c r="R37" s="45"/>
      <c r="S37" s="45"/>
      <c r="T37" s="45"/>
      <c r="U37" s="45"/>
      <c r="V37" s="45"/>
      <c r="W37" s="4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41" t="s">
        <v>21</v>
      </c>
      <c r="B38" s="41" t="s">
        <v>35</v>
      </c>
      <c r="C38" s="41" t="s">
        <v>36</v>
      </c>
      <c r="D38" s="41" t="s">
        <v>34</v>
      </c>
      <c r="E38" s="41" t="s">
        <v>25</v>
      </c>
      <c r="F38" s="41" t="s">
        <v>25</v>
      </c>
      <c r="G38" s="41" t="s">
        <v>25</v>
      </c>
      <c r="H38" s="41" t="s">
        <v>38</v>
      </c>
      <c r="I38" s="60">
        <v>44440</v>
      </c>
      <c r="J38" s="61">
        <f>EFEITO!$J$38*EFEITO!$Y$38</f>
        <v>0</v>
      </c>
      <c r="K38" s="61">
        <f ca="1">EFEITO!$L$38*EFEITO!$Z$38</f>
        <v>131099.56594595482</v>
      </c>
      <c r="L38" s="61">
        <f>EFEITO!$N$38*EFEITO!$AA$38</f>
        <v>282326.48746912513</v>
      </c>
      <c r="M38" s="61">
        <f>$J$38-EFEITO!$K$38*EFEITO!$Y$38</f>
        <v>0</v>
      </c>
      <c r="N38" s="61">
        <f ca="1">$K$38-EFEITO!$M$38*EFEITO!$Z$38</f>
        <v>0</v>
      </c>
      <c r="O38" s="61">
        <f>$L$38-EFEITO!$O$38*EFEITO!$AA$38</f>
        <v>0</v>
      </c>
      <c r="P38" s="45"/>
      <c r="Q38" s="45"/>
      <c r="R38" s="45"/>
      <c r="S38" s="45"/>
      <c r="T38" s="45"/>
      <c r="U38" s="45"/>
      <c r="V38" s="45"/>
      <c r="W38" s="4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41" t="s">
        <v>21</v>
      </c>
      <c r="B39" s="41" t="s">
        <v>35</v>
      </c>
      <c r="C39" s="41" t="s">
        <v>36</v>
      </c>
      <c r="D39" s="41" t="s">
        <v>34</v>
      </c>
      <c r="E39" s="41" t="s">
        <v>25</v>
      </c>
      <c r="F39" s="41" t="s">
        <v>25</v>
      </c>
      <c r="G39" s="41" t="s">
        <v>25</v>
      </c>
      <c r="H39" s="41" t="s">
        <v>38</v>
      </c>
      <c r="I39" s="60">
        <v>44470</v>
      </c>
      <c r="J39" s="61">
        <f>EFEITO!$J$39*EFEITO!$Y$39</f>
        <v>0</v>
      </c>
      <c r="K39" s="61">
        <f ca="1">EFEITO!$L$39*EFEITO!$Z$39</f>
        <v>132060.8444435049</v>
      </c>
      <c r="L39" s="61">
        <f>EFEITO!$N$39*EFEITO!$AA$39</f>
        <v>284396.62690654164</v>
      </c>
      <c r="M39" s="61">
        <f>$J$39-EFEITO!$K$39*EFEITO!$Y$39</f>
        <v>0</v>
      </c>
      <c r="N39" s="61">
        <f ca="1">$K$39-EFEITO!$M$39*EFEITO!$Z$39</f>
        <v>0</v>
      </c>
      <c r="O39" s="61">
        <f>$L$39-EFEITO!$O$39*EFEITO!$AA$39</f>
        <v>0</v>
      </c>
      <c r="P39" s="45"/>
      <c r="Q39" s="45"/>
      <c r="R39" s="45"/>
      <c r="S39" s="45"/>
      <c r="T39" s="45"/>
      <c r="U39" s="45"/>
      <c r="V39" s="45"/>
      <c r="W39" s="4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41" t="s">
        <v>21</v>
      </c>
      <c r="B40" s="41" t="s">
        <v>35</v>
      </c>
      <c r="C40" s="41" t="s">
        <v>36</v>
      </c>
      <c r="D40" s="41" t="s">
        <v>34</v>
      </c>
      <c r="E40" s="41" t="s">
        <v>25</v>
      </c>
      <c r="F40" s="41" t="s">
        <v>25</v>
      </c>
      <c r="G40" s="41" t="s">
        <v>25</v>
      </c>
      <c r="H40" s="41" t="s">
        <v>38</v>
      </c>
      <c r="I40" s="60">
        <v>44501</v>
      </c>
      <c r="J40" s="61">
        <f>EFEITO!$J$40*EFEITO!$Y$40</f>
        <v>0</v>
      </c>
      <c r="K40" s="61">
        <f ca="1">EFEITO!$L$40*EFEITO!$Z$40</f>
        <v>135128.98854640685</v>
      </c>
      <c r="L40" s="61">
        <f>EFEITO!$N$40*EFEITO!$AA$40</f>
        <v>291003.9588330143</v>
      </c>
      <c r="M40" s="61">
        <f>$J$40-EFEITO!$K$40*EFEITO!$Y$40</f>
        <v>0</v>
      </c>
      <c r="N40" s="61">
        <f ca="1">$K$40-EFEITO!$M$40*EFEITO!$Z$40</f>
        <v>0</v>
      </c>
      <c r="O40" s="61">
        <f>$L$40-EFEITO!$O$40*EFEITO!$AA$40</f>
        <v>0</v>
      </c>
      <c r="P40" s="45"/>
      <c r="Q40" s="45"/>
      <c r="R40" s="45"/>
      <c r="S40" s="45"/>
      <c r="T40" s="45"/>
      <c r="U40" s="45"/>
      <c r="V40" s="45"/>
      <c r="W40" s="4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41" t="s">
        <v>21</v>
      </c>
      <c r="B41" s="41" t="s">
        <v>35</v>
      </c>
      <c r="C41" s="41" t="s">
        <v>36</v>
      </c>
      <c r="D41" s="41" t="s">
        <v>34</v>
      </c>
      <c r="E41" s="41" t="s">
        <v>25</v>
      </c>
      <c r="F41" s="41" t="s">
        <v>25</v>
      </c>
      <c r="G41" s="41" t="s">
        <v>25</v>
      </c>
      <c r="H41" s="41" t="s">
        <v>38</v>
      </c>
      <c r="I41" s="60">
        <v>44531</v>
      </c>
      <c r="J41" s="61">
        <f>EFEITO!$J$41*EFEITO!$Y$41</f>
        <v>0</v>
      </c>
      <c r="K41" s="61">
        <f ca="1">EFEITO!$L$41*EFEITO!$Z$41</f>
        <v>141050.63438608503</v>
      </c>
      <c r="L41" s="61">
        <f>EFEITO!$N$41*EFEITO!$AA$41</f>
        <v>303756.38450192695</v>
      </c>
      <c r="M41" s="61">
        <f>$J$41-EFEITO!$K$41*EFEITO!$Y$41</f>
        <v>0</v>
      </c>
      <c r="N41" s="61">
        <f ca="1">$K$41-EFEITO!$M$41*EFEITO!$Z$41</f>
        <v>0</v>
      </c>
      <c r="O41" s="61">
        <f>$L$41-EFEITO!$O$41*EFEITO!$AA$41</f>
        <v>0</v>
      </c>
      <c r="P41" s="45"/>
      <c r="Q41" s="45"/>
      <c r="R41" s="45"/>
      <c r="S41" s="45"/>
      <c r="T41" s="45"/>
      <c r="U41" s="45"/>
      <c r="V41" s="45"/>
      <c r="W41" s="4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41" t="s">
        <v>21</v>
      </c>
      <c r="B42" s="41" t="s">
        <v>35</v>
      </c>
      <c r="C42" s="41" t="s">
        <v>36</v>
      </c>
      <c r="D42" s="41" t="s">
        <v>34</v>
      </c>
      <c r="E42" s="41" t="s">
        <v>25</v>
      </c>
      <c r="F42" s="41" t="s">
        <v>25</v>
      </c>
      <c r="G42" s="41" t="s">
        <v>25</v>
      </c>
      <c r="H42" s="41" t="s">
        <v>38</v>
      </c>
      <c r="I42" s="60">
        <v>44562</v>
      </c>
      <c r="J42" s="61">
        <f>EFEITO!$J$42*EFEITO!$Y$42</f>
        <v>0</v>
      </c>
      <c r="K42" s="61">
        <f ca="1">EFEITO!$L$42*EFEITO!$Z$42</f>
        <v>151252.178050157</v>
      </c>
      <c r="L42" s="61">
        <f>EFEITO!$N$42*EFEITO!$AA$42</f>
        <v>325725.6867544431</v>
      </c>
      <c r="M42" s="61">
        <f>$J$42-EFEITO!$K$42*EFEITO!$Y$42</f>
        <v>0</v>
      </c>
      <c r="N42" s="61">
        <f ca="1">$K$42-EFEITO!$M$42*EFEITO!$Z$42</f>
        <v>0</v>
      </c>
      <c r="O42" s="61">
        <f>$L$42-EFEITO!$O$42*EFEITO!$AA$42</f>
        <v>0</v>
      </c>
      <c r="P42" s="45"/>
      <c r="Q42" s="45"/>
      <c r="R42" s="45"/>
      <c r="S42" s="45"/>
      <c r="T42" s="45"/>
      <c r="U42" s="45"/>
      <c r="V42" s="45"/>
      <c r="W42" s="4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41" t="s">
        <v>21</v>
      </c>
      <c r="B43" s="41" t="s">
        <v>35</v>
      </c>
      <c r="C43" s="41" t="s">
        <v>36</v>
      </c>
      <c r="D43" s="41" t="s">
        <v>34</v>
      </c>
      <c r="E43" s="41" t="s">
        <v>25</v>
      </c>
      <c r="F43" s="41" t="s">
        <v>25</v>
      </c>
      <c r="G43" s="41" t="s">
        <v>25</v>
      </c>
      <c r="H43" s="41" t="s">
        <v>38</v>
      </c>
      <c r="I43" s="60">
        <v>44593</v>
      </c>
      <c r="J43" s="61">
        <f>EFEITO!$J$43*EFEITO!$Y$43</f>
        <v>0</v>
      </c>
      <c r="K43" s="61">
        <f ca="1">EFEITO!$L$43*EFEITO!$Z$43</f>
        <v>174983.99595710274</v>
      </c>
      <c r="L43" s="61">
        <f>EFEITO!$N$43*EFEITO!$AA$43</f>
        <v>376832.80326226557</v>
      </c>
      <c r="M43" s="61">
        <f>$J$43-EFEITO!$K$43*EFEITO!$Y$43</f>
        <v>0</v>
      </c>
      <c r="N43" s="61">
        <f ca="1">$K$43-EFEITO!$M$43*EFEITO!$Z$43</f>
        <v>0</v>
      </c>
      <c r="O43" s="61">
        <f>$L$43-EFEITO!$O$43*EFEITO!$AA$43</f>
        <v>0</v>
      </c>
      <c r="P43" s="45"/>
      <c r="Q43" s="45"/>
      <c r="R43" s="45"/>
      <c r="S43" s="45"/>
      <c r="T43" s="45"/>
      <c r="U43" s="45"/>
      <c r="V43" s="45"/>
      <c r="W43" s="45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41" t="s">
        <v>21</v>
      </c>
      <c r="B44" s="41" t="s">
        <v>35</v>
      </c>
      <c r="C44" s="41" t="s">
        <v>36</v>
      </c>
      <c r="D44" s="41" t="s">
        <v>34</v>
      </c>
      <c r="E44" s="41" t="s">
        <v>25</v>
      </c>
      <c r="F44" s="41" t="s">
        <v>25</v>
      </c>
      <c r="G44" s="41" t="s">
        <v>25</v>
      </c>
      <c r="H44" s="41" t="s">
        <v>38</v>
      </c>
      <c r="I44" s="60">
        <v>44621</v>
      </c>
      <c r="J44" s="61">
        <f>EFEITO!$J$44*EFEITO!$Y$44</f>
        <v>0</v>
      </c>
      <c r="K44" s="61">
        <f ca="1">EFEITO!$L$44*EFEITO!$Z$44</f>
        <v>240407.87610416464</v>
      </c>
      <c r="L44" s="61">
        <f>EFEITO!$N$44*EFEITO!$AA$44</f>
        <v>517724.91183061549</v>
      </c>
      <c r="M44" s="61">
        <f>$J$44-EFEITO!$K$44*EFEITO!$Y$44</f>
        <v>0</v>
      </c>
      <c r="N44" s="61">
        <f ca="1">$K$44-EFEITO!$M$44*EFEITO!$Z$44</f>
        <v>0</v>
      </c>
      <c r="O44" s="61">
        <f>$L$44-EFEITO!$O$44*EFEITO!$AA$44</f>
        <v>0</v>
      </c>
      <c r="P44" s="45"/>
      <c r="Q44" s="45"/>
      <c r="R44" s="45"/>
      <c r="S44" s="45"/>
      <c r="T44" s="45"/>
      <c r="U44" s="45"/>
      <c r="V44" s="45"/>
      <c r="W44" s="4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41" t="s">
        <v>21</v>
      </c>
      <c r="B45" s="41" t="s">
        <v>35</v>
      </c>
      <c r="C45" s="41" t="s">
        <v>36</v>
      </c>
      <c r="D45" s="41" t="s">
        <v>34</v>
      </c>
      <c r="E45" s="41" t="s">
        <v>25</v>
      </c>
      <c r="F45" s="41" t="s">
        <v>25</v>
      </c>
      <c r="G45" s="41" t="s">
        <v>25</v>
      </c>
      <c r="H45" s="41" t="s">
        <v>38</v>
      </c>
      <c r="I45" s="60">
        <v>44652</v>
      </c>
      <c r="J45" s="61">
        <f>EFEITO!$J$45*EFEITO!$Y$45</f>
        <v>0</v>
      </c>
      <c r="K45" s="61">
        <f ca="1">EFEITO!$L$45*EFEITO!$Z$45</f>
        <v>206881.89155282281</v>
      </c>
      <c r="L45" s="61">
        <f>EFEITO!$N$45*EFEITO!$AA$45</f>
        <v>445525.79058236891</v>
      </c>
      <c r="M45" s="61">
        <f>$J$45-EFEITO!$K$45*EFEITO!$Y$45</f>
        <v>0</v>
      </c>
      <c r="N45" s="61">
        <f ca="1">$K$45-EFEITO!$M$45*EFEITO!$Z$45</f>
        <v>0</v>
      </c>
      <c r="O45" s="61">
        <f>$L$45-EFEITO!$O$45*EFEITO!$AA$45</f>
        <v>0</v>
      </c>
      <c r="P45" s="45"/>
      <c r="Q45" s="45"/>
      <c r="R45" s="45"/>
      <c r="S45" s="45"/>
      <c r="T45" s="45"/>
      <c r="U45" s="45"/>
      <c r="V45" s="45"/>
      <c r="W45" s="4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41" t="s">
        <v>21</v>
      </c>
      <c r="B46" s="41" t="s">
        <v>35</v>
      </c>
      <c r="C46" s="41" t="s">
        <v>36</v>
      </c>
      <c r="D46" s="41" t="s">
        <v>34</v>
      </c>
      <c r="E46" s="41" t="s">
        <v>25</v>
      </c>
      <c r="F46" s="41" t="s">
        <v>25</v>
      </c>
      <c r="G46" s="41" t="s">
        <v>25</v>
      </c>
      <c r="H46" s="41" t="s">
        <v>38</v>
      </c>
      <c r="I46" s="60">
        <v>44682</v>
      </c>
      <c r="J46" s="61">
        <f>EFEITO!$J$46*EFEITO!$Y$46</f>
        <v>0</v>
      </c>
      <c r="K46" s="61">
        <f ca="1">EFEITO!$L$46*EFEITO!$Z$46</f>
        <v>200852.9245300818</v>
      </c>
      <c r="L46" s="61">
        <f>EFEITO!$N$46*EFEITO!$AA$46</f>
        <v>432542.24582143995</v>
      </c>
      <c r="M46" s="61">
        <f>$J$46-EFEITO!$K$46*EFEITO!$Y$46</f>
        <v>0</v>
      </c>
      <c r="N46" s="61">
        <f ca="1">$K$46-EFEITO!$M$46*EFEITO!$Z$46</f>
        <v>0</v>
      </c>
      <c r="O46" s="61">
        <f>$L$46-EFEITO!$O$46*EFEITO!$AA$46</f>
        <v>0</v>
      </c>
      <c r="P46" s="45"/>
      <c r="Q46" s="45"/>
      <c r="R46" s="45"/>
      <c r="S46" s="45"/>
      <c r="T46" s="45"/>
      <c r="U46" s="45"/>
      <c r="V46" s="45"/>
      <c r="W46" s="4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41" t="s">
        <v>21</v>
      </c>
      <c r="B47" s="41" t="s">
        <v>35</v>
      </c>
      <c r="C47" s="41" t="s">
        <v>36</v>
      </c>
      <c r="D47" s="41" t="s">
        <v>34</v>
      </c>
      <c r="E47" s="41" t="s">
        <v>25</v>
      </c>
      <c r="F47" s="41" t="s">
        <v>25</v>
      </c>
      <c r="G47" s="41" t="s">
        <v>25</v>
      </c>
      <c r="H47" s="41" t="s">
        <v>38</v>
      </c>
      <c r="I47" s="60">
        <v>44713</v>
      </c>
      <c r="J47" s="61">
        <f>EFEITO!$J$47*EFEITO!$Y$47</f>
        <v>0</v>
      </c>
      <c r="K47" s="61">
        <f ca="1">EFEITO!$L$47*EFEITO!$Z$47</f>
        <v>180781.20244154354</v>
      </c>
      <c r="L47" s="61">
        <f>EFEITO!$N$47*EFEITO!$AA$47</f>
        <v>389317.2453889476</v>
      </c>
      <c r="M47" s="61">
        <f>$J$47-EFEITO!$K$47*EFEITO!$Y$47</f>
        <v>0</v>
      </c>
      <c r="N47" s="61">
        <f ca="1">$K$47-EFEITO!$M$47*EFEITO!$Z$47</f>
        <v>0</v>
      </c>
      <c r="O47" s="61">
        <f>$L$47-EFEITO!$O$47*EFEITO!$AA$47</f>
        <v>0</v>
      </c>
      <c r="P47" s="45"/>
      <c r="Q47" s="45"/>
      <c r="R47" s="45"/>
      <c r="S47" s="45"/>
      <c r="T47" s="45"/>
      <c r="U47" s="45"/>
      <c r="V47" s="45"/>
      <c r="W47" s="45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41" t="s">
        <v>21</v>
      </c>
      <c r="B48" s="41" t="s">
        <v>35</v>
      </c>
      <c r="C48" s="41" t="s">
        <v>36</v>
      </c>
      <c r="D48" s="41" t="s">
        <v>34</v>
      </c>
      <c r="E48" s="41" t="s">
        <v>25</v>
      </c>
      <c r="F48" s="41" t="s">
        <v>25</v>
      </c>
      <c r="G48" s="41" t="s">
        <v>25</v>
      </c>
      <c r="H48" s="41" t="s">
        <v>38</v>
      </c>
      <c r="I48" s="60">
        <v>44743</v>
      </c>
      <c r="J48" s="61">
        <f>EFEITO!$J$48*EFEITO!$Y$48</f>
        <v>0</v>
      </c>
      <c r="K48" s="61">
        <f ca="1">EFEITO!$L$48*EFEITO!$Z$48</f>
        <v>176210.91655653159</v>
      </c>
      <c r="L48" s="61">
        <f>EFEITO!$N$48*EFEITO!$AA$48</f>
        <v>379475.01020430122</v>
      </c>
      <c r="M48" s="61">
        <f>$J$48-EFEITO!$K$48*EFEITO!$Y$48</f>
        <v>0</v>
      </c>
      <c r="N48" s="61">
        <f ca="1">$K$48-EFEITO!$M$48*EFEITO!$Z$48</f>
        <v>0</v>
      </c>
      <c r="O48" s="61">
        <f>$L$48-EFEITO!$O$48*EFEITO!$AA$48</f>
        <v>0</v>
      </c>
      <c r="P48" s="45"/>
      <c r="Q48" s="45"/>
      <c r="R48" s="45"/>
      <c r="S48" s="45"/>
      <c r="T48" s="45"/>
      <c r="U48" s="45"/>
      <c r="V48" s="45"/>
      <c r="W48" s="4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41" t="s">
        <v>55</v>
      </c>
      <c r="B49" s="41" t="s">
        <v>35</v>
      </c>
      <c r="C49" s="41" t="s">
        <v>36</v>
      </c>
      <c r="D49" s="41" t="s">
        <v>34</v>
      </c>
      <c r="E49" s="41" t="s">
        <v>25</v>
      </c>
      <c r="F49" s="41" t="s">
        <v>25</v>
      </c>
      <c r="G49" s="41" t="s">
        <v>25</v>
      </c>
      <c r="H49" s="41" t="s">
        <v>38</v>
      </c>
      <c r="I49" s="60">
        <v>44774</v>
      </c>
      <c r="J49" s="61">
        <f>EFEITO!$J$49*EFEITO!$Y$49</f>
        <v>0</v>
      </c>
      <c r="K49" s="61">
        <f ca="1">EFEITO!$L$49*EFEITO!$Z$49</f>
        <v>176210.91655653159</v>
      </c>
      <c r="L49" s="61">
        <f>EFEITO!$N$49*EFEITO!$AA$49</f>
        <v>379475.01020430122</v>
      </c>
      <c r="M49" s="61">
        <f>$J$49-EFEITO!$K$49*EFEITO!$Y$49</f>
        <v>0</v>
      </c>
      <c r="N49" s="61">
        <f ca="1">$K$49-EFEITO!$M$49*EFEITO!$Z$49</f>
        <v>0</v>
      </c>
      <c r="O49" s="61">
        <f>$L$49-EFEITO!$O$49*EFEITO!$AA$49</f>
        <v>0</v>
      </c>
      <c r="P49" s="45"/>
      <c r="Q49" s="45"/>
      <c r="R49" s="45"/>
      <c r="S49" s="45"/>
      <c r="T49" s="45"/>
      <c r="U49" s="45"/>
      <c r="V49" s="45"/>
      <c r="W49" s="45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41" t="s">
        <v>21</v>
      </c>
      <c r="B50" s="41" t="s">
        <v>35</v>
      </c>
      <c r="C50" s="41" t="s">
        <v>36</v>
      </c>
      <c r="D50" s="41" t="s">
        <v>34</v>
      </c>
      <c r="E50" s="41" t="s">
        <v>25</v>
      </c>
      <c r="F50" s="41" t="s">
        <v>25</v>
      </c>
      <c r="G50" s="41" t="s">
        <v>25</v>
      </c>
      <c r="H50" s="41" t="s">
        <v>25</v>
      </c>
      <c r="I50" s="60">
        <v>44440</v>
      </c>
      <c r="J50" s="61">
        <f ca="1">EFEITO!$J$50*EFEITO!$Y$50</f>
        <v>160441.65697830965</v>
      </c>
      <c r="K50" s="61">
        <f>EFEITO!$L$50*EFEITO!$Z$50</f>
        <v>0</v>
      </c>
      <c r="L50" s="61">
        <f>EFEITO!$N$50*EFEITO!$AA$50</f>
        <v>0</v>
      </c>
      <c r="M50" s="61">
        <f ca="1">$J$50-EFEITO!$K$50*EFEITO!$Y$50</f>
        <v>0</v>
      </c>
      <c r="N50" s="61">
        <f>$K$50-EFEITO!$M$50*EFEITO!$Z$50</f>
        <v>0</v>
      </c>
      <c r="O50" s="61">
        <f>$L$50-EFEITO!$O$50*EFEITO!$AA$50</f>
        <v>0</v>
      </c>
      <c r="P50" s="45"/>
      <c r="Q50" s="45"/>
      <c r="R50" s="45"/>
      <c r="S50" s="45"/>
      <c r="T50" s="45"/>
      <c r="U50" s="45"/>
      <c r="V50" s="45"/>
      <c r="W50" s="45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41" t="s">
        <v>21</v>
      </c>
      <c r="B51" s="41" t="s">
        <v>35</v>
      </c>
      <c r="C51" s="41" t="s">
        <v>36</v>
      </c>
      <c r="D51" s="41" t="s">
        <v>34</v>
      </c>
      <c r="E51" s="41" t="s">
        <v>25</v>
      </c>
      <c r="F51" s="41" t="s">
        <v>25</v>
      </c>
      <c r="G51" s="41" t="s">
        <v>25</v>
      </c>
      <c r="H51" s="41" t="s">
        <v>25</v>
      </c>
      <c r="I51" s="60">
        <v>44470</v>
      </c>
      <c r="J51" s="61">
        <f ca="1">EFEITO!$J$51*EFEITO!$Y$51</f>
        <v>154059.77694236944</v>
      </c>
      <c r="K51" s="61">
        <f>EFEITO!$L$51*EFEITO!$Z$51</f>
        <v>0</v>
      </c>
      <c r="L51" s="61">
        <f>EFEITO!$N$51*EFEITO!$AA$51</f>
        <v>0</v>
      </c>
      <c r="M51" s="61">
        <f ca="1">$J$51-EFEITO!$K$51*EFEITO!$Y$51</f>
        <v>0</v>
      </c>
      <c r="N51" s="61">
        <f>$K$51-EFEITO!$M$51*EFEITO!$Z$51</f>
        <v>0</v>
      </c>
      <c r="O51" s="61">
        <f>$L$51-EFEITO!$O$51*EFEITO!$AA$51</f>
        <v>0</v>
      </c>
      <c r="P51" s="45"/>
      <c r="Q51" s="45"/>
      <c r="R51" s="45"/>
      <c r="S51" s="45"/>
      <c r="T51" s="45"/>
      <c r="U51" s="45"/>
      <c r="V51" s="45"/>
      <c r="W51" s="45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41" t="s">
        <v>21</v>
      </c>
      <c r="B52" s="41" t="s">
        <v>35</v>
      </c>
      <c r="C52" s="41" t="s">
        <v>36</v>
      </c>
      <c r="D52" s="41" t="s">
        <v>34</v>
      </c>
      <c r="E52" s="41" t="s">
        <v>25</v>
      </c>
      <c r="F52" s="41" t="s">
        <v>25</v>
      </c>
      <c r="G52" s="41" t="s">
        <v>25</v>
      </c>
      <c r="H52" s="41" t="s">
        <v>25</v>
      </c>
      <c r="I52" s="60">
        <v>44501</v>
      </c>
      <c r="J52" s="61">
        <f ca="1">EFEITO!$J$52*EFEITO!$Y$52</f>
        <v>161008.27249551928</v>
      </c>
      <c r="K52" s="61">
        <f>EFEITO!$L$52*EFEITO!$Z$52</f>
        <v>0</v>
      </c>
      <c r="L52" s="61">
        <f>EFEITO!$N$52*EFEITO!$AA$52</f>
        <v>0</v>
      </c>
      <c r="M52" s="61">
        <f ca="1">$J$52-EFEITO!$K$52*EFEITO!$Y$52</f>
        <v>0</v>
      </c>
      <c r="N52" s="61">
        <f>$K$52-EFEITO!$M$52*EFEITO!$Z$52</f>
        <v>0</v>
      </c>
      <c r="O52" s="61">
        <f>$L$52-EFEITO!$O$52*EFEITO!$AA$52</f>
        <v>0</v>
      </c>
      <c r="P52" s="45"/>
      <c r="Q52" s="45"/>
      <c r="R52" s="45"/>
      <c r="S52" s="45"/>
      <c r="T52" s="45"/>
      <c r="U52" s="45"/>
      <c r="V52" s="45"/>
      <c r="W52" s="45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41" t="s">
        <v>21</v>
      </c>
      <c r="B53" s="41" t="s">
        <v>35</v>
      </c>
      <c r="C53" s="41" t="s">
        <v>36</v>
      </c>
      <c r="D53" s="41" t="s">
        <v>34</v>
      </c>
      <c r="E53" s="41" t="s">
        <v>25</v>
      </c>
      <c r="F53" s="41" t="s">
        <v>25</v>
      </c>
      <c r="G53" s="41" t="s">
        <v>25</v>
      </c>
      <c r="H53" s="41" t="s">
        <v>25</v>
      </c>
      <c r="I53" s="60">
        <v>44531</v>
      </c>
      <c r="J53" s="61">
        <f ca="1">EFEITO!$J$53*EFEITO!$Y$53</f>
        <v>147320.03447450738</v>
      </c>
      <c r="K53" s="61">
        <f>EFEITO!$L$53*EFEITO!$Z$53</f>
        <v>0</v>
      </c>
      <c r="L53" s="61">
        <f>EFEITO!$N$53*EFEITO!$AA$53</f>
        <v>0</v>
      </c>
      <c r="M53" s="61">
        <f ca="1">$J$53-EFEITO!$K$53*EFEITO!$Y$53</f>
        <v>0</v>
      </c>
      <c r="N53" s="61">
        <f>$K$53-EFEITO!$M$53*EFEITO!$Z$53</f>
        <v>0</v>
      </c>
      <c r="O53" s="61">
        <f>$L$53-EFEITO!$O$53*EFEITO!$AA$53</f>
        <v>0</v>
      </c>
      <c r="P53" s="45"/>
      <c r="Q53" s="45"/>
      <c r="R53" s="45"/>
      <c r="S53" s="45"/>
      <c r="T53" s="45"/>
      <c r="U53" s="45"/>
      <c r="V53" s="45"/>
      <c r="W53" s="45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41" t="s">
        <v>21</v>
      </c>
      <c r="B54" s="41" t="s">
        <v>35</v>
      </c>
      <c r="C54" s="41" t="s">
        <v>36</v>
      </c>
      <c r="D54" s="41" t="s">
        <v>34</v>
      </c>
      <c r="E54" s="41" t="s">
        <v>25</v>
      </c>
      <c r="F54" s="41" t="s">
        <v>25</v>
      </c>
      <c r="G54" s="41" t="s">
        <v>25</v>
      </c>
      <c r="H54" s="41" t="s">
        <v>25</v>
      </c>
      <c r="I54" s="60">
        <v>44562</v>
      </c>
      <c r="J54" s="61">
        <f ca="1">EFEITO!$J$54*EFEITO!$Y$54</f>
        <v>156803.3889204372</v>
      </c>
      <c r="K54" s="61">
        <f>EFEITO!$L$54*EFEITO!$Z$54</f>
        <v>0</v>
      </c>
      <c r="L54" s="61">
        <f>EFEITO!$N$54*EFEITO!$AA$54</f>
        <v>0</v>
      </c>
      <c r="M54" s="61">
        <f ca="1">$J$54-EFEITO!$K$54*EFEITO!$Y$54</f>
        <v>0</v>
      </c>
      <c r="N54" s="61">
        <f>$K$54-EFEITO!$M$54*EFEITO!$Z$54</f>
        <v>0</v>
      </c>
      <c r="O54" s="61">
        <f>$L$54-EFEITO!$O$54*EFEITO!$AA$54</f>
        <v>0</v>
      </c>
      <c r="P54" s="45"/>
      <c r="Q54" s="45"/>
      <c r="R54" s="45"/>
      <c r="S54" s="45"/>
      <c r="T54" s="45"/>
      <c r="U54" s="45"/>
      <c r="V54" s="45"/>
      <c r="W54" s="45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41" t="s">
        <v>21</v>
      </c>
      <c r="B55" s="41" t="s">
        <v>35</v>
      </c>
      <c r="C55" s="41" t="s">
        <v>36</v>
      </c>
      <c r="D55" s="41" t="s">
        <v>34</v>
      </c>
      <c r="E55" s="41" t="s">
        <v>25</v>
      </c>
      <c r="F55" s="41" t="s">
        <v>25</v>
      </c>
      <c r="G55" s="41" t="s">
        <v>25</v>
      </c>
      <c r="H55" s="41" t="s">
        <v>25</v>
      </c>
      <c r="I55" s="60">
        <v>44593</v>
      </c>
      <c r="J55" s="61">
        <f ca="1">EFEITO!$J$55*EFEITO!$Y$55</f>
        <v>170998.5987200051</v>
      </c>
      <c r="K55" s="61">
        <f>EFEITO!$L$55*EFEITO!$Z$55</f>
        <v>0</v>
      </c>
      <c r="L55" s="61">
        <f>EFEITO!$N$55*EFEITO!$AA$55</f>
        <v>0</v>
      </c>
      <c r="M55" s="61">
        <f ca="1">$J$55-EFEITO!$K$55*EFEITO!$Y$55</f>
        <v>0</v>
      </c>
      <c r="N55" s="61">
        <f>$K$55-EFEITO!$M$55*EFEITO!$Z$55</f>
        <v>0</v>
      </c>
      <c r="O55" s="61">
        <f>$L$55-EFEITO!$O$55*EFEITO!$AA$55</f>
        <v>0</v>
      </c>
      <c r="P55" s="45"/>
      <c r="Q55" s="45"/>
      <c r="R55" s="45"/>
      <c r="S55" s="45"/>
      <c r="T55" s="45"/>
      <c r="U55" s="45"/>
      <c r="V55" s="45"/>
      <c r="W55" s="45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41" t="s">
        <v>21</v>
      </c>
      <c r="B56" s="41" t="s">
        <v>35</v>
      </c>
      <c r="C56" s="41" t="s">
        <v>36</v>
      </c>
      <c r="D56" s="41" t="s">
        <v>34</v>
      </c>
      <c r="E56" s="41" t="s">
        <v>25</v>
      </c>
      <c r="F56" s="41" t="s">
        <v>25</v>
      </c>
      <c r="G56" s="41" t="s">
        <v>25</v>
      </c>
      <c r="H56" s="41" t="s">
        <v>25</v>
      </c>
      <c r="I56" s="60">
        <v>44621</v>
      </c>
      <c r="J56" s="61">
        <f ca="1">EFEITO!$J$56*EFEITO!$Y$56</f>
        <v>191396.75733955228</v>
      </c>
      <c r="K56" s="61">
        <f>EFEITO!$L$56*EFEITO!$Z$56</f>
        <v>0</v>
      </c>
      <c r="L56" s="61">
        <f>EFEITO!$N$56*EFEITO!$AA$56</f>
        <v>0</v>
      </c>
      <c r="M56" s="61">
        <f ca="1">$J$56-EFEITO!$K$56*EFEITO!$Y$56</f>
        <v>0</v>
      </c>
      <c r="N56" s="61">
        <f>$K$56-EFEITO!$M$56*EFEITO!$Z$56</f>
        <v>0</v>
      </c>
      <c r="O56" s="61">
        <f>$L$56-EFEITO!$O$56*EFEITO!$AA$56</f>
        <v>0</v>
      </c>
      <c r="P56" s="45"/>
      <c r="Q56" s="45"/>
      <c r="R56" s="45"/>
      <c r="S56" s="45"/>
      <c r="T56" s="45"/>
      <c r="U56" s="45"/>
      <c r="V56" s="45"/>
      <c r="W56" s="45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41" t="s">
        <v>21</v>
      </c>
      <c r="B57" s="41" t="s">
        <v>35</v>
      </c>
      <c r="C57" s="41" t="s">
        <v>36</v>
      </c>
      <c r="D57" s="41" t="s">
        <v>34</v>
      </c>
      <c r="E57" s="41" t="s">
        <v>25</v>
      </c>
      <c r="F57" s="41" t="s">
        <v>25</v>
      </c>
      <c r="G57" s="41" t="s">
        <v>25</v>
      </c>
      <c r="H57" s="41" t="s">
        <v>25</v>
      </c>
      <c r="I57" s="60">
        <v>44652</v>
      </c>
      <c r="J57" s="61">
        <f ca="1">EFEITO!$J$57*EFEITO!$Y$57</f>
        <v>203385.14880893528</v>
      </c>
      <c r="K57" s="61">
        <f>EFEITO!$L$57*EFEITO!$Z$57</f>
        <v>0</v>
      </c>
      <c r="L57" s="61">
        <f>EFEITO!$N$57*EFEITO!$AA$57</f>
        <v>0</v>
      </c>
      <c r="M57" s="61">
        <f ca="1">$J$57-EFEITO!$K$57*EFEITO!$Y$57</f>
        <v>0</v>
      </c>
      <c r="N57" s="61">
        <f>$K$57-EFEITO!$M$57*EFEITO!$Z$57</f>
        <v>0</v>
      </c>
      <c r="O57" s="61">
        <f>$L$57-EFEITO!$O$57*EFEITO!$AA$57</f>
        <v>0</v>
      </c>
      <c r="P57" s="45"/>
      <c r="Q57" s="45"/>
      <c r="R57" s="45"/>
      <c r="S57" s="45"/>
      <c r="T57" s="45"/>
      <c r="U57" s="45"/>
      <c r="V57" s="45"/>
      <c r="W57" s="45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41" t="s">
        <v>21</v>
      </c>
      <c r="B58" s="41" t="s">
        <v>35</v>
      </c>
      <c r="C58" s="41" t="s">
        <v>36</v>
      </c>
      <c r="D58" s="41" t="s">
        <v>34</v>
      </c>
      <c r="E58" s="41" t="s">
        <v>25</v>
      </c>
      <c r="F58" s="41" t="s">
        <v>25</v>
      </c>
      <c r="G58" s="41" t="s">
        <v>25</v>
      </c>
      <c r="H58" s="41" t="s">
        <v>25</v>
      </c>
      <c r="I58" s="60">
        <v>44682</v>
      </c>
      <c r="J58" s="61">
        <f ca="1">EFEITO!$J$58*EFEITO!$Y$58</f>
        <v>201655.48038797951</v>
      </c>
      <c r="K58" s="61">
        <f>EFEITO!$L$58*EFEITO!$Z$58</f>
        <v>0</v>
      </c>
      <c r="L58" s="61">
        <f>EFEITO!$N$58*EFEITO!$AA$58</f>
        <v>0</v>
      </c>
      <c r="M58" s="61">
        <f ca="1">$J$58-EFEITO!$K$58*EFEITO!$Y$58</f>
        <v>0</v>
      </c>
      <c r="N58" s="61">
        <f>$K$58-EFEITO!$M$58*EFEITO!$Z$58</f>
        <v>0</v>
      </c>
      <c r="O58" s="61">
        <f>$L$58-EFEITO!$O$58*EFEITO!$AA$58</f>
        <v>0</v>
      </c>
      <c r="P58" s="45"/>
      <c r="Q58" s="45"/>
      <c r="R58" s="45"/>
      <c r="S58" s="45"/>
      <c r="T58" s="45"/>
      <c r="U58" s="45"/>
      <c r="V58" s="45"/>
      <c r="W58" s="4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41" t="s">
        <v>21</v>
      </c>
      <c r="B59" s="41" t="s">
        <v>35</v>
      </c>
      <c r="C59" s="41" t="s">
        <v>36</v>
      </c>
      <c r="D59" s="41" t="s">
        <v>34</v>
      </c>
      <c r="E59" s="41" t="s">
        <v>25</v>
      </c>
      <c r="F59" s="41" t="s">
        <v>25</v>
      </c>
      <c r="G59" s="41" t="s">
        <v>25</v>
      </c>
      <c r="H59" s="41" t="s">
        <v>25</v>
      </c>
      <c r="I59" s="60">
        <v>44713</v>
      </c>
      <c r="J59" s="61">
        <f ca="1">EFEITO!$J$59*EFEITO!$Y$59</f>
        <v>201416.90543336494</v>
      </c>
      <c r="K59" s="61">
        <f>EFEITO!$L$59*EFEITO!$Z$59</f>
        <v>0</v>
      </c>
      <c r="L59" s="61">
        <f>EFEITO!$N$59*EFEITO!$AA$59</f>
        <v>0</v>
      </c>
      <c r="M59" s="61">
        <f ca="1">$J$59-EFEITO!$K$59*EFEITO!$Y$59</f>
        <v>0</v>
      </c>
      <c r="N59" s="61">
        <f>$K$59-EFEITO!$M$59*EFEITO!$Z$59</f>
        <v>0</v>
      </c>
      <c r="O59" s="61">
        <f>$L$59-EFEITO!$O$59*EFEITO!$AA$59</f>
        <v>0</v>
      </c>
      <c r="P59" s="45"/>
      <c r="Q59" s="45"/>
      <c r="R59" s="45"/>
      <c r="S59" s="45"/>
      <c r="T59" s="45"/>
      <c r="U59" s="45"/>
      <c r="V59" s="45"/>
      <c r="W59" s="4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41" t="s">
        <v>21</v>
      </c>
      <c r="B60" s="41" t="s">
        <v>35</v>
      </c>
      <c r="C60" s="41" t="s">
        <v>36</v>
      </c>
      <c r="D60" s="41" t="s">
        <v>34</v>
      </c>
      <c r="E60" s="41" t="s">
        <v>25</v>
      </c>
      <c r="F60" s="41" t="s">
        <v>25</v>
      </c>
      <c r="G60" s="41" t="s">
        <v>25</v>
      </c>
      <c r="H60" s="41" t="s">
        <v>25</v>
      </c>
      <c r="I60" s="60">
        <v>44743</v>
      </c>
      <c r="J60" s="61">
        <f ca="1">EFEITO!$J$60*EFEITO!$Y$60</f>
        <v>187967.24236696761</v>
      </c>
      <c r="K60" s="61">
        <f>EFEITO!$L$60*EFEITO!$Z$60</f>
        <v>0</v>
      </c>
      <c r="L60" s="61">
        <f>EFEITO!$N$60*EFEITO!$AA$60</f>
        <v>0</v>
      </c>
      <c r="M60" s="61">
        <f ca="1">$J$60-EFEITO!$K$60*EFEITO!$Y$60</f>
        <v>0</v>
      </c>
      <c r="N60" s="61">
        <f>$K$60-EFEITO!$M$60*EFEITO!$Z$60</f>
        <v>0</v>
      </c>
      <c r="O60" s="61">
        <f>$L$60-EFEITO!$O$60*EFEITO!$AA$60</f>
        <v>0</v>
      </c>
      <c r="P60" s="45"/>
      <c r="Q60" s="45"/>
      <c r="R60" s="45"/>
      <c r="S60" s="45"/>
      <c r="T60" s="45"/>
      <c r="U60" s="45"/>
      <c r="V60" s="45"/>
      <c r="W60" s="45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41" t="s">
        <v>55</v>
      </c>
      <c r="B61" s="41" t="s">
        <v>35</v>
      </c>
      <c r="C61" s="41" t="s">
        <v>36</v>
      </c>
      <c r="D61" s="41" t="s">
        <v>34</v>
      </c>
      <c r="E61" s="41" t="s">
        <v>25</v>
      </c>
      <c r="F61" s="41" t="s">
        <v>25</v>
      </c>
      <c r="G61" s="41" t="s">
        <v>25</v>
      </c>
      <c r="H61" s="41" t="s">
        <v>25</v>
      </c>
      <c r="I61" s="60">
        <v>44774</v>
      </c>
      <c r="J61" s="61">
        <f ca="1">EFEITO!$J$61*EFEITO!$Y$61</f>
        <v>187967.24236696761</v>
      </c>
      <c r="K61" s="61">
        <f>EFEITO!$L$61*EFEITO!$Z$61</f>
        <v>0</v>
      </c>
      <c r="L61" s="61">
        <f>EFEITO!$N$61*EFEITO!$AA$61</f>
        <v>0</v>
      </c>
      <c r="M61" s="61">
        <f ca="1">$J$61-EFEITO!$K$61*EFEITO!$Y$61</f>
        <v>0</v>
      </c>
      <c r="N61" s="61">
        <f>$K$61-EFEITO!$M$61*EFEITO!$Z$61</f>
        <v>0</v>
      </c>
      <c r="O61" s="61">
        <f>$L$61-EFEITO!$O$61*EFEITO!$AA$61</f>
        <v>0</v>
      </c>
      <c r="P61" s="45"/>
      <c r="Q61" s="45"/>
      <c r="R61" s="45"/>
      <c r="S61" s="45"/>
      <c r="T61" s="45"/>
      <c r="U61" s="45"/>
      <c r="V61" s="45"/>
      <c r="W61" s="45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41" t="s">
        <v>21</v>
      </c>
      <c r="B62" s="41" t="s">
        <v>35</v>
      </c>
      <c r="C62" s="41" t="s">
        <v>36</v>
      </c>
      <c r="D62" s="41" t="s">
        <v>34</v>
      </c>
      <c r="E62" s="41" t="s">
        <v>25</v>
      </c>
      <c r="F62" s="41" t="s">
        <v>25</v>
      </c>
      <c r="G62" s="41" t="s">
        <v>25</v>
      </c>
      <c r="H62" s="41" t="s">
        <v>37</v>
      </c>
      <c r="I62" s="60">
        <v>44440</v>
      </c>
      <c r="J62" s="61">
        <f>EFEITO!$J$62*EFEITO!$Y$62</f>
        <v>0</v>
      </c>
      <c r="K62" s="61">
        <f ca="1">EFEITO!$L$62*EFEITO!$Z$62</f>
        <v>283513.2878555418</v>
      </c>
      <c r="L62" s="61">
        <f>EFEITO!$N$62*EFEITO!$AA$62</f>
        <v>23919.297963586905</v>
      </c>
      <c r="M62" s="61">
        <f>$J$62-EFEITO!$K$62*EFEITO!$Y$62</f>
        <v>0</v>
      </c>
      <c r="N62" s="61">
        <f ca="1">$K$62-EFEITO!$M$62*EFEITO!$Z$62</f>
        <v>0</v>
      </c>
      <c r="O62" s="61">
        <f>$L$62-EFEITO!$O$62*EFEITO!$AA$62</f>
        <v>0</v>
      </c>
      <c r="P62" s="45"/>
      <c r="Q62" s="45"/>
      <c r="R62" s="45"/>
      <c r="S62" s="45"/>
      <c r="T62" s="45"/>
      <c r="U62" s="45"/>
      <c r="V62" s="45"/>
      <c r="W62" s="45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41" t="s">
        <v>21</v>
      </c>
      <c r="B63" s="41" t="s">
        <v>35</v>
      </c>
      <c r="C63" s="41" t="s">
        <v>36</v>
      </c>
      <c r="D63" s="41" t="s">
        <v>34</v>
      </c>
      <c r="E63" s="41" t="s">
        <v>25</v>
      </c>
      <c r="F63" s="41" t="s">
        <v>25</v>
      </c>
      <c r="G63" s="41" t="s">
        <v>25</v>
      </c>
      <c r="H63" s="41" t="s">
        <v>37</v>
      </c>
      <c r="I63" s="60">
        <v>44470</v>
      </c>
      <c r="J63" s="61">
        <f>EFEITO!$J$63*EFEITO!$Y$63</f>
        <v>0</v>
      </c>
      <c r="K63" s="61">
        <f ca="1">EFEITO!$L$63*EFEITO!$Z$63</f>
        <v>261443.86568607498</v>
      </c>
      <c r="L63" s="61">
        <f>EFEITO!$N$63*EFEITO!$AA$63</f>
        <v>22057.356716499256</v>
      </c>
      <c r="M63" s="61">
        <f>$J$63-EFEITO!$K$63*EFEITO!$Y$63</f>
        <v>0</v>
      </c>
      <c r="N63" s="61">
        <f ca="1">$K$63-EFEITO!$M$63*EFEITO!$Z$63</f>
        <v>0</v>
      </c>
      <c r="O63" s="61">
        <f>$L$63-EFEITO!$O$63*EFEITO!$AA$63</f>
        <v>0</v>
      </c>
      <c r="P63" s="45"/>
      <c r="Q63" s="45"/>
      <c r="R63" s="45"/>
      <c r="S63" s="45"/>
      <c r="T63" s="45"/>
      <c r="U63" s="45"/>
      <c r="V63" s="45"/>
      <c r="W63" s="45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41" t="s">
        <v>21</v>
      </c>
      <c r="B64" s="41" t="s">
        <v>35</v>
      </c>
      <c r="C64" s="41" t="s">
        <v>36</v>
      </c>
      <c r="D64" s="41" t="s">
        <v>34</v>
      </c>
      <c r="E64" s="41" t="s">
        <v>25</v>
      </c>
      <c r="F64" s="41" t="s">
        <v>25</v>
      </c>
      <c r="G64" s="41" t="s">
        <v>25</v>
      </c>
      <c r="H64" s="41" t="s">
        <v>37</v>
      </c>
      <c r="I64" s="60">
        <v>44501</v>
      </c>
      <c r="J64" s="61">
        <f>EFEITO!$J$64*EFEITO!$Y$64</f>
        <v>0</v>
      </c>
      <c r="K64" s="61">
        <f ca="1">EFEITO!$L$64*EFEITO!$Z$64</f>
        <v>267411.75621117908</v>
      </c>
      <c r="L64" s="61">
        <f>EFEITO!$N$64*EFEITO!$AA$64</f>
        <v>22560.852523569734</v>
      </c>
      <c r="M64" s="61">
        <f>$J$64-EFEITO!$K$64*EFEITO!$Y$64</f>
        <v>0</v>
      </c>
      <c r="N64" s="61">
        <f ca="1">$K$64-EFEITO!$M$64*EFEITO!$Z$64</f>
        <v>0</v>
      </c>
      <c r="O64" s="61">
        <f>$L$64-EFEITO!$O$64*EFEITO!$AA$64</f>
        <v>0</v>
      </c>
      <c r="P64" s="45"/>
      <c r="Q64" s="45"/>
      <c r="R64" s="45"/>
      <c r="S64" s="45"/>
      <c r="T64" s="45"/>
      <c r="U64" s="45"/>
      <c r="V64" s="45"/>
      <c r="W64" s="45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41" t="s">
        <v>21</v>
      </c>
      <c r="B65" s="41" t="s">
        <v>35</v>
      </c>
      <c r="C65" s="41" t="s">
        <v>36</v>
      </c>
      <c r="D65" s="41" t="s">
        <v>34</v>
      </c>
      <c r="E65" s="41" t="s">
        <v>25</v>
      </c>
      <c r="F65" s="41" t="s">
        <v>25</v>
      </c>
      <c r="G65" s="41" t="s">
        <v>25</v>
      </c>
      <c r="H65" s="41" t="s">
        <v>37</v>
      </c>
      <c r="I65" s="60">
        <v>44531</v>
      </c>
      <c r="J65" s="61">
        <f>EFEITO!$J$65*EFEITO!$Y$65</f>
        <v>0</v>
      </c>
      <c r="K65" s="61">
        <f ca="1">EFEITO!$L$65*EFEITO!$Z$65</f>
        <v>313103.70104336814</v>
      </c>
      <c r="L65" s="61">
        <f>EFEITO!$N$65*EFEITO!$AA$65</f>
        <v>26415.766172392359</v>
      </c>
      <c r="M65" s="61">
        <f>$J$65-EFEITO!$K$65*EFEITO!$Y$65</f>
        <v>0</v>
      </c>
      <c r="N65" s="61">
        <f ca="1">$K$65-EFEITO!$M$65*EFEITO!$Z$65</f>
        <v>0</v>
      </c>
      <c r="O65" s="61">
        <f>$L$65-EFEITO!$O$65*EFEITO!$AA$65</f>
        <v>0</v>
      </c>
      <c r="P65" s="45"/>
      <c r="Q65" s="45"/>
      <c r="R65" s="45"/>
      <c r="S65" s="45"/>
      <c r="T65" s="45"/>
      <c r="U65" s="45"/>
      <c r="V65" s="45"/>
      <c r="W65" s="4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41" t="s">
        <v>21</v>
      </c>
      <c r="B66" s="41" t="s">
        <v>35</v>
      </c>
      <c r="C66" s="41" t="s">
        <v>36</v>
      </c>
      <c r="D66" s="41" t="s">
        <v>34</v>
      </c>
      <c r="E66" s="41" t="s">
        <v>25</v>
      </c>
      <c r="F66" s="41" t="s">
        <v>25</v>
      </c>
      <c r="G66" s="41" t="s">
        <v>25</v>
      </c>
      <c r="H66" s="41" t="s">
        <v>37</v>
      </c>
      <c r="I66" s="60">
        <v>44562</v>
      </c>
      <c r="J66" s="61">
        <f>EFEITO!$J$66*EFEITO!$Y$66</f>
        <v>0</v>
      </c>
      <c r="K66" s="61">
        <f ca="1">EFEITO!$L$66*EFEITO!$Z$66</f>
        <v>339515.4654082635</v>
      </c>
      <c r="L66" s="61">
        <f>EFEITO!$N$66*EFEITO!$AA$66</f>
        <v>28644.059831453145</v>
      </c>
      <c r="M66" s="61">
        <f>$J$66-EFEITO!$K$66*EFEITO!$Y$66</f>
        <v>0</v>
      </c>
      <c r="N66" s="61">
        <f ca="1">$K$66-EFEITO!$M$66*EFEITO!$Z$66</f>
        <v>0</v>
      </c>
      <c r="O66" s="61">
        <f>$L$66-EFEITO!$O$66*EFEITO!$AA$66</f>
        <v>0</v>
      </c>
      <c r="P66" s="45"/>
      <c r="Q66" s="45"/>
      <c r="R66" s="45"/>
      <c r="S66" s="45"/>
      <c r="T66" s="45"/>
      <c r="U66" s="45"/>
      <c r="V66" s="45"/>
      <c r="W66" s="45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41" t="s">
        <v>21</v>
      </c>
      <c r="B67" s="41" t="s">
        <v>35</v>
      </c>
      <c r="C67" s="41" t="s">
        <v>36</v>
      </c>
      <c r="D67" s="41" t="s">
        <v>34</v>
      </c>
      <c r="E67" s="41" t="s">
        <v>25</v>
      </c>
      <c r="F67" s="41" t="s">
        <v>25</v>
      </c>
      <c r="G67" s="41" t="s">
        <v>25</v>
      </c>
      <c r="H67" s="41" t="s">
        <v>37</v>
      </c>
      <c r="I67" s="60">
        <v>44593</v>
      </c>
      <c r="J67" s="61">
        <f>EFEITO!$J$67*EFEITO!$Y$67</f>
        <v>0</v>
      </c>
      <c r="K67" s="61">
        <f ca="1">EFEITO!$L$67*EFEITO!$Z$67</f>
        <v>336701.31976232107</v>
      </c>
      <c r="L67" s="61">
        <f>EFEITO!$N$67*EFEITO!$AA$67</f>
        <v>28406.63749147264</v>
      </c>
      <c r="M67" s="61">
        <f>$J$67-EFEITO!$K$67*EFEITO!$Y$67</f>
        <v>0</v>
      </c>
      <c r="N67" s="61">
        <f ca="1">$K$67-EFEITO!$M$67*EFEITO!$Z$67</f>
        <v>0</v>
      </c>
      <c r="O67" s="61">
        <f>$L$67-EFEITO!$O$67*EFEITO!$AA$67</f>
        <v>0</v>
      </c>
      <c r="P67" s="45"/>
      <c r="Q67" s="45"/>
      <c r="R67" s="45"/>
      <c r="S67" s="45"/>
      <c r="T67" s="45"/>
      <c r="U67" s="45"/>
      <c r="V67" s="45"/>
      <c r="W67" s="45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41" t="s">
        <v>21</v>
      </c>
      <c r="B68" s="41" t="s">
        <v>35</v>
      </c>
      <c r="C68" s="41" t="s">
        <v>36</v>
      </c>
      <c r="D68" s="41" t="s">
        <v>34</v>
      </c>
      <c r="E68" s="41" t="s">
        <v>25</v>
      </c>
      <c r="F68" s="41" t="s">
        <v>25</v>
      </c>
      <c r="G68" s="41" t="s">
        <v>25</v>
      </c>
      <c r="H68" s="41" t="s">
        <v>37</v>
      </c>
      <c r="I68" s="60">
        <v>44621</v>
      </c>
      <c r="J68" s="61">
        <f>EFEITO!$J$68*EFEITO!$Y$68</f>
        <v>0</v>
      </c>
      <c r="K68" s="61">
        <f ca="1">EFEITO!$L$68*EFEITO!$Z$68</f>
        <v>314070.42686059861</v>
      </c>
      <c r="L68" s="61">
        <f>EFEITO!$N$68*EFEITO!$AA$68</f>
        <v>26497.326380897328</v>
      </c>
      <c r="M68" s="61">
        <f>$J$68-EFEITO!$K$68*EFEITO!$Y$68</f>
        <v>0</v>
      </c>
      <c r="N68" s="61">
        <f ca="1">$K$68-EFEITO!$M$68*EFEITO!$Z$68</f>
        <v>0</v>
      </c>
      <c r="O68" s="61">
        <f>$L$68-EFEITO!$O$68*EFEITO!$AA$68</f>
        <v>0</v>
      </c>
      <c r="P68" s="45"/>
      <c r="Q68" s="45"/>
      <c r="R68" s="45"/>
      <c r="S68" s="45"/>
      <c r="T68" s="45"/>
      <c r="U68" s="45"/>
      <c r="V68" s="45"/>
      <c r="W68" s="45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41" t="s">
        <v>21</v>
      </c>
      <c r="B69" s="41" t="s">
        <v>35</v>
      </c>
      <c r="C69" s="41" t="s">
        <v>36</v>
      </c>
      <c r="D69" s="41" t="s">
        <v>34</v>
      </c>
      <c r="E69" s="41" t="s">
        <v>25</v>
      </c>
      <c r="F69" s="41" t="s">
        <v>25</v>
      </c>
      <c r="G69" s="41" t="s">
        <v>25</v>
      </c>
      <c r="H69" s="41" t="s">
        <v>37</v>
      </c>
      <c r="I69" s="60">
        <v>44652</v>
      </c>
      <c r="J69" s="61">
        <f>EFEITO!$J$69*EFEITO!$Y$69</f>
        <v>0</v>
      </c>
      <c r="K69" s="61">
        <f ca="1">EFEITO!$L$69*EFEITO!$Z$69</f>
        <v>258946.67932447037</v>
      </c>
      <c r="L69" s="61">
        <f>EFEITO!$N$69*EFEITO!$AA$69</f>
        <v>21846.675428487593</v>
      </c>
      <c r="M69" s="61">
        <f>$J$69-EFEITO!$K$69*EFEITO!$Y$69</f>
        <v>0</v>
      </c>
      <c r="N69" s="61">
        <f ca="1">$K$69-EFEITO!$M$69*EFEITO!$Z$69</f>
        <v>0</v>
      </c>
      <c r="O69" s="61">
        <f>$L$69-EFEITO!$O$69*EFEITO!$AA$69</f>
        <v>0</v>
      </c>
      <c r="P69" s="45"/>
      <c r="Q69" s="45"/>
      <c r="R69" s="45"/>
      <c r="S69" s="45"/>
      <c r="T69" s="45"/>
      <c r="U69" s="45"/>
      <c r="V69" s="45"/>
      <c r="W69" s="45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41" t="s">
        <v>21</v>
      </c>
      <c r="B70" s="41" t="s">
        <v>35</v>
      </c>
      <c r="C70" s="41" t="s">
        <v>36</v>
      </c>
      <c r="D70" s="41" t="s">
        <v>34</v>
      </c>
      <c r="E70" s="41" t="s">
        <v>25</v>
      </c>
      <c r="F70" s="41" t="s">
        <v>25</v>
      </c>
      <c r="G70" s="41" t="s">
        <v>25</v>
      </c>
      <c r="H70" s="41" t="s">
        <v>37</v>
      </c>
      <c r="I70" s="60">
        <v>44682</v>
      </c>
      <c r="J70" s="61">
        <f>EFEITO!$J$70*EFEITO!$Y$70</f>
        <v>0</v>
      </c>
      <c r="K70" s="61">
        <f ca="1">EFEITO!$L$70*EFEITO!$Z$70</f>
        <v>309793.74051692581</v>
      </c>
      <c r="L70" s="61">
        <f>EFEITO!$N$70*EFEITO!$AA$70</f>
        <v>26136.513186832028</v>
      </c>
      <c r="M70" s="61">
        <f>$J$70-EFEITO!$K$70*EFEITO!$Y$70</f>
        <v>0</v>
      </c>
      <c r="N70" s="61">
        <f ca="1">$K$70-EFEITO!$M$70*EFEITO!$Z$70</f>
        <v>0</v>
      </c>
      <c r="O70" s="61">
        <f>$L$70-EFEITO!$O$70*EFEITO!$AA$70</f>
        <v>0</v>
      </c>
      <c r="P70" s="45"/>
      <c r="Q70" s="45"/>
      <c r="R70" s="45"/>
      <c r="S70" s="45"/>
      <c r="T70" s="45"/>
      <c r="U70" s="45"/>
      <c r="V70" s="45"/>
      <c r="W70" s="45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41" t="s">
        <v>21</v>
      </c>
      <c r="B71" s="41" t="s">
        <v>35</v>
      </c>
      <c r="C71" s="41" t="s">
        <v>36</v>
      </c>
      <c r="D71" s="41" t="s">
        <v>34</v>
      </c>
      <c r="E71" s="41" t="s">
        <v>25</v>
      </c>
      <c r="F71" s="41" t="s">
        <v>25</v>
      </c>
      <c r="G71" s="41" t="s">
        <v>25</v>
      </c>
      <c r="H71" s="41" t="s">
        <v>37</v>
      </c>
      <c r="I71" s="60">
        <v>44713</v>
      </c>
      <c r="J71" s="61">
        <f>EFEITO!$J$71*EFEITO!$Y$71</f>
        <v>0</v>
      </c>
      <c r="K71" s="61">
        <f ca="1">EFEITO!$L$71*EFEITO!$Z$71</f>
        <v>248806.24622054733</v>
      </c>
      <c r="L71" s="61">
        <f>EFEITO!$N$71*EFEITO!$AA$71</f>
        <v>20991.152772998717</v>
      </c>
      <c r="M71" s="61">
        <f>$J$71-EFEITO!$K$71*EFEITO!$Y$71</f>
        <v>0</v>
      </c>
      <c r="N71" s="61">
        <f ca="1">$K$71-EFEITO!$M$71*EFEITO!$Z$71</f>
        <v>0</v>
      </c>
      <c r="O71" s="61">
        <f>$L$71-EFEITO!$O$71*EFEITO!$AA$71</f>
        <v>0</v>
      </c>
      <c r="P71" s="45"/>
      <c r="Q71" s="45"/>
      <c r="R71" s="45"/>
      <c r="S71" s="45"/>
      <c r="T71" s="45"/>
      <c r="U71" s="45"/>
      <c r="V71" s="45"/>
      <c r="W71" s="45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41" t="s">
        <v>21</v>
      </c>
      <c r="B72" s="41" t="s">
        <v>35</v>
      </c>
      <c r="C72" s="41" t="s">
        <v>36</v>
      </c>
      <c r="D72" s="41" t="s">
        <v>34</v>
      </c>
      <c r="E72" s="41" t="s">
        <v>25</v>
      </c>
      <c r="F72" s="41" t="s">
        <v>25</v>
      </c>
      <c r="G72" s="41" t="s">
        <v>25</v>
      </c>
      <c r="H72" s="41" t="s">
        <v>37</v>
      </c>
      <c r="I72" s="60">
        <v>44743</v>
      </c>
      <c r="J72" s="61">
        <f>EFEITO!$J$72*EFEITO!$Y$72</f>
        <v>0</v>
      </c>
      <c r="K72" s="61">
        <f ca="1">EFEITO!$L$72*EFEITO!$Z$72</f>
        <v>260234.89241581489</v>
      </c>
      <c r="L72" s="61">
        <f>EFEITO!$N$72*EFEITO!$AA$72</f>
        <v>21955.358703989528</v>
      </c>
      <c r="M72" s="61">
        <f>$J$72-EFEITO!$K$72*EFEITO!$Y$72</f>
        <v>0</v>
      </c>
      <c r="N72" s="61">
        <f ca="1">$K$72-EFEITO!$M$72*EFEITO!$Z$72</f>
        <v>0</v>
      </c>
      <c r="O72" s="61">
        <f>$L$72-EFEITO!$O$72*EFEITO!$AA$72</f>
        <v>0</v>
      </c>
      <c r="P72" s="45"/>
      <c r="Q72" s="45"/>
      <c r="R72" s="45"/>
      <c r="S72" s="45"/>
      <c r="T72" s="45"/>
      <c r="U72" s="45"/>
      <c r="V72" s="45"/>
      <c r="W72" s="45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41" t="s">
        <v>55</v>
      </c>
      <c r="B73" s="41" t="s">
        <v>35</v>
      </c>
      <c r="C73" s="41" t="s">
        <v>36</v>
      </c>
      <c r="D73" s="41" t="s">
        <v>34</v>
      </c>
      <c r="E73" s="41" t="s">
        <v>25</v>
      </c>
      <c r="F73" s="41" t="s">
        <v>25</v>
      </c>
      <c r="G73" s="41" t="s">
        <v>25</v>
      </c>
      <c r="H73" s="41" t="s">
        <v>37</v>
      </c>
      <c r="I73" s="60">
        <v>44774</v>
      </c>
      <c r="J73" s="61">
        <f>EFEITO!$J$73*EFEITO!$Y$73</f>
        <v>0</v>
      </c>
      <c r="K73" s="61">
        <f ca="1">EFEITO!$L$73*EFEITO!$Z$73</f>
        <v>260234.89241581489</v>
      </c>
      <c r="L73" s="61">
        <f>EFEITO!$N$73*EFEITO!$AA$73</f>
        <v>21955.358703989528</v>
      </c>
      <c r="M73" s="61">
        <f>$J$73-EFEITO!$K$73*EFEITO!$Y$73</f>
        <v>0</v>
      </c>
      <c r="N73" s="61">
        <f ca="1">$K$73-EFEITO!$M$73*EFEITO!$Z$73</f>
        <v>0</v>
      </c>
      <c r="O73" s="61">
        <f>$L$73-EFEITO!$O$73*EFEITO!$AA$73</f>
        <v>0</v>
      </c>
      <c r="P73" s="45"/>
      <c r="Q73" s="45"/>
      <c r="R73" s="45"/>
      <c r="S73" s="45"/>
      <c r="T73" s="45"/>
      <c r="U73" s="45"/>
      <c r="V73" s="45"/>
      <c r="W73" s="4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41" t="s">
        <v>21</v>
      </c>
      <c r="B74" s="41" t="s">
        <v>22</v>
      </c>
      <c r="C74" s="41" t="s">
        <v>23</v>
      </c>
      <c r="D74" s="41" t="s">
        <v>24</v>
      </c>
      <c r="E74" s="41" t="s">
        <v>24</v>
      </c>
      <c r="F74" s="41" t="s">
        <v>25</v>
      </c>
      <c r="G74" s="41" t="s">
        <v>25</v>
      </c>
      <c r="H74" s="41" t="s">
        <v>25</v>
      </c>
      <c r="I74" s="60">
        <v>44440</v>
      </c>
      <c r="J74" s="61">
        <f>EFEITO!$J$74*EFEITO!$Y$74</f>
        <v>0</v>
      </c>
      <c r="K74" s="61">
        <f ca="1">EFEITO!$L$74*EFEITO!$Z$74</f>
        <v>197094.57214516425</v>
      </c>
      <c r="L74" s="61">
        <f>EFEITO!$N$74*EFEITO!$AA$74</f>
        <v>84028.407601691957</v>
      </c>
      <c r="M74" s="61">
        <f>$J$74-EFEITO!$K$74*EFEITO!$Y$74</f>
        <v>0</v>
      </c>
      <c r="N74" s="61">
        <f ca="1">$K$74-EFEITO!$M$74*EFEITO!$Z$74</f>
        <v>0</v>
      </c>
      <c r="O74" s="61">
        <f>$L$74-EFEITO!$O$74*EFEITO!$AA$74</f>
        <v>0</v>
      </c>
      <c r="P74" s="45"/>
      <c r="Q74" s="45"/>
      <c r="R74" s="45"/>
      <c r="S74" s="45"/>
      <c r="T74" s="45"/>
      <c r="U74" s="45"/>
      <c r="V74" s="45"/>
      <c r="W74" s="4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41" t="s">
        <v>27</v>
      </c>
      <c r="B75" s="41" t="s">
        <v>22</v>
      </c>
      <c r="C75" s="41" t="s">
        <v>23</v>
      </c>
      <c r="D75" s="41" t="s">
        <v>24</v>
      </c>
      <c r="E75" s="41" t="s">
        <v>24</v>
      </c>
      <c r="F75" s="41" t="s">
        <v>25</v>
      </c>
      <c r="G75" s="41" t="s">
        <v>25</v>
      </c>
      <c r="H75" s="41" t="s">
        <v>25</v>
      </c>
      <c r="I75" s="60">
        <v>44440</v>
      </c>
      <c r="J75" s="61">
        <f>EFEITO!$J$75*EFEITO!$Y$75</f>
        <v>0</v>
      </c>
      <c r="K75" s="61">
        <f ca="1">EFEITO!$L$75*EFEITO!$Z$75</f>
        <v>-22.401081571865497</v>
      </c>
      <c r="L75" s="61">
        <f>EFEITO!$N$75*EFEITO!$AA$75</f>
        <v>-9.5503757031578278</v>
      </c>
      <c r="M75" s="61">
        <f>$J$75-EFEITO!$K$75*EFEITO!$Y$75</f>
        <v>0</v>
      </c>
      <c r="N75" s="61">
        <f ca="1">$K$75-EFEITO!$M$75*EFEITO!$Z$75</f>
        <v>0</v>
      </c>
      <c r="O75" s="61">
        <f>$L$75-EFEITO!$O$75*EFEITO!$AA$75</f>
        <v>0</v>
      </c>
      <c r="P75" s="45"/>
      <c r="Q75" s="45"/>
      <c r="R75" s="45"/>
      <c r="S75" s="45"/>
      <c r="T75" s="45"/>
      <c r="U75" s="45"/>
      <c r="V75" s="45"/>
      <c r="W75" s="4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41" t="s">
        <v>28</v>
      </c>
      <c r="B76" s="41" t="s">
        <v>22</v>
      </c>
      <c r="C76" s="41" t="s">
        <v>23</v>
      </c>
      <c r="D76" s="41" t="s">
        <v>24</v>
      </c>
      <c r="E76" s="41" t="s">
        <v>24</v>
      </c>
      <c r="F76" s="41" t="s">
        <v>25</v>
      </c>
      <c r="G76" s="41" t="s">
        <v>25</v>
      </c>
      <c r="H76" s="41" t="s">
        <v>25</v>
      </c>
      <c r="I76" s="60">
        <v>44440</v>
      </c>
      <c r="J76" s="61">
        <f>EFEITO!$J$76*EFEITO!$Y$76</f>
        <v>0</v>
      </c>
      <c r="K76" s="61">
        <f ca="1">EFEITO!$L$76*EFEITO!$Z$76</f>
        <v>650.07938721553671</v>
      </c>
      <c r="L76" s="61">
        <f>EFEITO!$N$76*EFEITO!$AA$76</f>
        <v>277.15190290564016</v>
      </c>
      <c r="M76" s="61">
        <f>$J$76-EFEITO!$K$76*EFEITO!$Y$76</f>
        <v>0</v>
      </c>
      <c r="N76" s="61">
        <f ca="1">$K$76-EFEITO!$M$76*EFEITO!$Z$76</f>
        <v>0</v>
      </c>
      <c r="O76" s="61">
        <f>$L$76-EFEITO!$O$76*EFEITO!$AA$76</f>
        <v>0</v>
      </c>
      <c r="P76" s="45"/>
      <c r="Q76" s="45"/>
      <c r="R76" s="45"/>
      <c r="S76" s="45"/>
      <c r="T76" s="45"/>
      <c r="U76" s="45"/>
      <c r="V76" s="45"/>
      <c r="W76" s="45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41" t="s">
        <v>21</v>
      </c>
      <c r="B77" s="41" t="s">
        <v>22</v>
      </c>
      <c r="C77" s="41" t="s">
        <v>23</v>
      </c>
      <c r="D77" s="41" t="s">
        <v>24</v>
      </c>
      <c r="E77" s="41" t="s">
        <v>24</v>
      </c>
      <c r="F77" s="41" t="s">
        <v>25</v>
      </c>
      <c r="G77" s="41" t="s">
        <v>25</v>
      </c>
      <c r="H77" s="41" t="s">
        <v>25</v>
      </c>
      <c r="I77" s="60">
        <v>44470</v>
      </c>
      <c r="J77" s="61">
        <f>EFEITO!$J$77*EFEITO!$Y$77</f>
        <v>0</v>
      </c>
      <c r="K77" s="61">
        <f ca="1">EFEITO!$L$77*EFEITO!$Z$77</f>
        <v>204262.02220489833</v>
      </c>
      <c r="L77" s="61">
        <f>EFEITO!$N$77*EFEITO!$AA$77</f>
        <v>87084.145811674331</v>
      </c>
      <c r="M77" s="61">
        <f>$J$77-EFEITO!$K$77*EFEITO!$Y$77</f>
        <v>0</v>
      </c>
      <c r="N77" s="61">
        <f ca="1">$K$77-EFEITO!$M$77*EFEITO!$Z$77</f>
        <v>0</v>
      </c>
      <c r="O77" s="61">
        <f>$L$77-EFEITO!$O$77*EFEITO!$AA$77</f>
        <v>0</v>
      </c>
      <c r="P77" s="45"/>
      <c r="Q77" s="45"/>
      <c r="R77" s="45"/>
      <c r="S77" s="45"/>
      <c r="T77" s="45"/>
      <c r="U77" s="45"/>
      <c r="V77" s="45"/>
      <c r="W77" s="45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41" t="s">
        <v>27</v>
      </c>
      <c r="B78" s="41" t="s">
        <v>22</v>
      </c>
      <c r="C78" s="41" t="s">
        <v>23</v>
      </c>
      <c r="D78" s="41" t="s">
        <v>24</v>
      </c>
      <c r="E78" s="41" t="s">
        <v>24</v>
      </c>
      <c r="F78" s="41" t="s">
        <v>25</v>
      </c>
      <c r="G78" s="41" t="s">
        <v>25</v>
      </c>
      <c r="H78" s="41" t="s">
        <v>25</v>
      </c>
      <c r="I78" s="60">
        <v>44470</v>
      </c>
      <c r="J78" s="61">
        <f>EFEITO!$J$78*EFEITO!$Y$78</f>
        <v>0</v>
      </c>
      <c r="K78" s="61">
        <f ca="1">EFEITO!$L$78*EFEITO!$Z$78</f>
        <v>-448.91767470018453</v>
      </c>
      <c r="L78" s="61">
        <f>EFEITO!$N$78*EFEITO!$AA$78</f>
        <v>-191.38952909128287</v>
      </c>
      <c r="M78" s="61">
        <f>$J$78-EFEITO!$K$78*EFEITO!$Y$78</f>
        <v>0</v>
      </c>
      <c r="N78" s="61">
        <f ca="1">$K$78-EFEITO!$M$78*EFEITO!$Z$78</f>
        <v>0</v>
      </c>
      <c r="O78" s="61">
        <f>$L$78-EFEITO!$O$78*EFEITO!$AA$78</f>
        <v>0</v>
      </c>
      <c r="P78" s="45"/>
      <c r="Q78" s="45"/>
      <c r="R78" s="45"/>
      <c r="S78" s="45"/>
      <c r="T78" s="45"/>
      <c r="U78" s="45"/>
      <c r="V78" s="45"/>
      <c r="W78" s="45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41" t="s">
        <v>28</v>
      </c>
      <c r="B79" s="41" t="s">
        <v>22</v>
      </c>
      <c r="C79" s="41" t="s">
        <v>23</v>
      </c>
      <c r="D79" s="41" t="s">
        <v>24</v>
      </c>
      <c r="E79" s="41" t="s">
        <v>24</v>
      </c>
      <c r="F79" s="41" t="s">
        <v>25</v>
      </c>
      <c r="G79" s="41" t="s">
        <v>25</v>
      </c>
      <c r="H79" s="41" t="s">
        <v>25</v>
      </c>
      <c r="I79" s="60">
        <v>44470</v>
      </c>
      <c r="J79" s="61">
        <f>EFEITO!$J$79*EFEITO!$Y$79</f>
        <v>0</v>
      </c>
      <c r="K79" s="61">
        <f ca="1">EFEITO!$L$79*EFEITO!$Z$79</f>
        <v>879.018440880002</v>
      </c>
      <c r="L79" s="61">
        <f>EFEITO!$N$79*EFEITO!$AA$79</f>
        <v>374.75674259191317</v>
      </c>
      <c r="M79" s="61">
        <f>$J$79-EFEITO!$K$79*EFEITO!$Y$79</f>
        <v>0</v>
      </c>
      <c r="N79" s="61">
        <f ca="1">$K$79-EFEITO!$M$79*EFEITO!$Z$79</f>
        <v>0</v>
      </c>
      <c r="O79" s="61">
        <f>$L$79-EFEITO!$O$79*EFEITO!$AA$79</f>
        <v>0</v>
      </c>
      <c r="P79" s="45"/>
      <c r="Q79" s="45"/>
      <c r="R79" s="45"/>
      <c r="S79" s="45"/>
      <c r="T79" s="45"/>
      <c r="U79" s="45"/>
      <c r="V79" s="45"/>
      <c r="W79" s="45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41" t="s">
        <v>21</v>
      </c>
      <c r="B80" s="41" t="s">
        <v>22</v>
      </c>
      <c r="C80" s="41" t="s">
        <v>23</v>
      </c>
      <c r="D80" s="41" t="s">
        <v>24</v>
      </c>
      <c r="E80" s="41" t="s">
        <v>24</v>
      </c>
      <c r="F80" s="41" t="s">
        <v>25</v>
      </c>
      <c r="G80" s="41" t="s">
        <v>25</v>
      </c>
      <c r="H80" s="41" t="s">
        <v>25</v>
      </c>
      <c r="I80" s="60">
        <v>44501</v>
      </c>
      <c r="J80" s="61">
        <f>EFEITO!$J$80*EFEITO!$Y$80</f>
        <v>0</v>
      </c>
      <c r="K80" s="61">
        <f ca="1">EFEITO!$L$80*EFEITO!$Z$80</f>
        <v>209560.77403990741</v>
      </c>
      <c r="L80" s="61">
        <f>EFEITO!$N$80*EFEITO!$AA$80</f>
        <v>89343.191680499294</v>
      </c>
      <c r="M80" s="61">
        <f>$J$80-EFEITO!$K$80*EFEITO!$Y$80</f>
        <v>0</v>
      </c>
      <c r="N80" s="61">
        <f ca="1">$K$80-EFEITO!$M$80*EFEITO!$Z$80</f>
        <v>0</v>
      </c>
      <c r="O80" s="61">
        <f>$L$80-EFEITO!$O$80*EFEITO!$AA$80</f>
        <v>0</v>
      </c>
      <c r="P80" s="45"/>
      <c r="Q80" s="45"/>
      <c r="R80" s="45"/>
      <c r="S80" s="45"/>
      <c r="T80" s="45"/>
      <c r="U80" s="45"/>
      <c r="V80" s="45"/>
      <c r="W80" s="45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41" t="s">
        <v>27</v>
      </c>
      <c r="B81" s="41" t="s">
        <v>22</v>
      </c>
      <c r="C81" s="41" t="s">
        <v>23</v>
      </c>
      <c r="D81" s="41" t="s">
        <v>24</v>
      </c>
      <c r="E81" s="41" t="s">
        <v>24</v>
      </c>
      <c r="F81" s="41" t="s">
        <v>25</v>
      </c>
      <c r="G81" s="41" t="s">
        <v>25</v>
      </c>
      <c r="H81" s="41" t="s">
        <v>25</v>
      </c>
      <c r="I81" s="60">
        <v>44501</v>
      </c>
      <c r="J81" s="61">
        <f>EFEITO!$J$81*EFEITO!$Y$81</f>
        <v>0</v>
      </c>
      <c r="K81" s="61">
        <f ca="1">EFEITO!$L$81*EFEITO!$Z$81</f>
        <v>-13.440648943119296</v>
      </c>
      <c r="L81" s="61">
        <f>EFEITO!$N$81*EFEITO!$AA$81</f>
        <v>-5.730225421894696</v>
      </c>
      <c r="M81" s="61">
        <f>$J$81-EFEITO!$K$81*EFEITO!$Y$81</f>
        <v>0</v>
      </c>
      <c r="N81" s="61">
        <f ca="1">$K$81-EFEITO!$M$81*EFEITO!$Z$81</f>
        <v>0</v>
      </c>
      <c r="O81" s="61">
        <f>$L$81-EFEITO!$O$81*EFEITO!$AA$81</f>
        <v>0</v>
      </c>
      <c r="P81" s="45"/>
      <c r="Q81" s="45"/>
      <c r="R81" s="45"/>
      <c r="S81" s="45"/>
      <c r="T81" s="45"/>
      <c r="U81" s="45"/>
      <c r="V81" s="45"/>
      <c r="W81" s="45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41" t="s">
        <v>28</v>
      </c>
      <c r="B82" s="41" t="s">
        <v>22</v>
      </c>
      <c r="C82" s="41" t="s">
        <v>23</v>
      </c>
      <c r="D82" s="41" t="s">
        <v>24</v>
      </c>
      <c r="E82" s="41" t="s">
        <v>24</v>
      </c>
      <c r="F82" s="41" t="s">
        <v>25</v>
      </c>
      <c r="G82" s="41" t="s">
        <v>25</v>
      </c>
      <c r="H82" s="41" t="s">
        <v>25</v>
      </c>
      <c r="I82" s="60">
        <v>44501</v>
      </c>
      <c r="J82" s="61">
        <f>EFEITO!$J$82*EFEITO!$Y$82</f>
        <v>0</v>
      </c>
      <c r="K82" s="61">
        <f ca="1">EFEITO!$L$82*EFEITO!$Z$82</f>
        <v>1018.8011898884428</v>
      </c>
      <c r="L82" s="61">
        <f>EFEITO!$N$82*EFEITO!$AA$82</f>
        <v>434.351086979618</v>
      </c>
      <c r="M82" s="61">
        <f>$J$82-EFEITO!$K$82*EFEITO!$Y$82</f>
        <v>0</v>
      </c>
      <c r="N82" s="61">
        <f ca="1">$K$82-EFEITO!$M$82*EFEITO!$Z$82</f>
        <v>0</v>
      </c>
      <c r="O82" s="61">
        <f>$L$82-EFEITO!$O$82*EFEITO!$AA$82</f>
        <v>0</v>
      </c>
      <c r="P82" s="45"/>
      <c r="Q82" s="45"/>
      <c r="R82" s="45"/>
      <c r="S82" s="45"/>
      <c r="T82" s="45"/>
      <c r="U82" s="45"/>
      <c r="V82" s="45"/>
      <c r="W82" s="45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41" t="s">
        <v>21</v>
      </c>
      <c r="B83" s="41" t="s">
        <v>22</v>
      </c>
      <c r="C83" s="41" t="s">
        <v>23</v>
      </c>
      <c r="D83" s="41" t="s">
        <v>24</v>
      </c>
      <c r="E83" s="41" t="s">
        <v>24</v>
      </c>
      <c r="F83" s="41" t="s">
        <v>25</v>
      </c>
      <c r="G83" s="41" t="s">
        <v>25</v>
      </c>
      <c r="H83" s="41" t="s">
        <v>25</v>
      </c>
      <c r="I83" s="60">
        <v>44531</v>
      </c>
      <c r="J83" s="61">
        <f>EFEITO!$J$83*EFEITO!$Y$83</f>
        <v>0</v>
      </c>
      <c r="K83" s="61">
        <f ca="1">EFEITO!$L$83*EFEITO!$Z$83</f>
        <v>210300.90577504184</v>
      </c>
      <c r="L83" s="61">
        <f>EFEITO!$N$83*EFEITO!$AA$83</f>
        <v>89658.736093731626</v>
      </c>
      <c r="M83" s="61">
        <f>$J$83-EFEITO!$K$83*EFEITO!$Y$83</f>
        <v>0</v>
      </c>
      <c r="N83" s="61">
        <f ca="1">$K$83-EFEITO!$M$83*EFEITO!$Z$83</f>
        <v>0</v>
      </c>
      <c r="O83" s="61">
        <f>$L$83-EFEITO!$O$83*EFEITO!$AA$83</f>
        <v>0</v>
      </c>
      <c r="P83" s="45"/>
      <c r="Q83" s="45"/>
      <c r="R83" s="45"/>
      <c r="S83" s="45"/>
      <c r="T83" s="45"/>
      <c r="U83" s="45"/>
      <c r="V83" s="45"/>
      <c r="W83" s="4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41" t="s">
        <v>27</v>
      </c>
      <c r="B84" s="41" t="s">
        <v>22</v>
      </c>
      <c r="C84" s="41" t="s">
        <v>23</v>
      </c>
      <c r="D84" s="41" t="s">
        <v>24</v>
      </c>
      <c r="E84" s="41" t="s">
        <v>24</v>
      </c>
      <c r="F84" s="41" t="s">
        <v>25</v>
      </c>
      <c r="G84" s="41" t="s">
        <v>25</v>
      </c>
      <c r="H84" s="41" t="s">
        <v>25</v>
      </c>
      <c r="I84" s="60">
        <v>44531</v>
      </c>
      <c r="J84" s="61">
        <f>EFEITO!$J$84*EFEITO!$Y$84</f>
        <v>0</v>
      </c>
      <c r="K84" s="61">
        <f ca="1">EFEITO!$L$84*EFEITO!$Z$84</f>
        <v>-168.90415505186584</v>
      </c>
      <c r="L84" s="61">
        <f>EFEITO!$N$84*EFEITO!$AA$84</f>
        <v>-72.00983280181002</v>
      </c>
      <c r="M84" s="61">
        <f>$J$84-EFEITO!$K$84*EFEITO!$Y$84</f>
        <v>0</v>
      </c>
      <c r="N84" s="61">
        <f ca="1">$K$84-EFEITO!$M$84*EFEITO!$Z$84</f>
        <v>0</v>
      </c>
      <c r="O84" s="61">
        <f>$L$84-EFEITO!$O$84*EFEITO!$AA$84</f>
        <v>0</v>
      </c>
      <c r="P84" s="45"/>
      <c r="Q84" s="45"/>
      <c r="R84" s="45"/>
      <c r="S84" s="45"/>
      <c r="T84" s="45"/>
      <c r="U84" s="45"/>
      <c r="V84" s="45"/>
      <c r="W84" s="4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41" t="s">
        <v>28</v>
      </c>
      <c r="B85" s="41" t="s">
        <v>22</v>
      </c>
      <c r="C85" s="41" t="s">
        <v>23</v>
      </c>
      <c r="D85" s="41" t="s">
        <v>24</v>
      </c>
      <c r="E85" s="41" t="s">
        <v>24</v>
      </c>
      <c r="F85" s="41" t="s">
        <v>25</v>
      </c>
      <c r="G85" s="41" t="s">
        <v>25</v>
      </c>
      <c r="H85" s="41" t="s">
        <v>25</v>
      </c>
      <c r="I85" s="60">
        <v>44531</v>
      </c>
      <c r="J85" s="61">
        <f>EFEITO!$J$85*EFEITO!$Y$85</f>
        <v>0</v>
      </c>
      <c r="K85" s="61">
        <f ca="1">EFEITO!$L$85*EFEITO!$Z$85</f>
        <v>832.42419121052183</v>
      </c>
      <c r="L85" s="61">
        <f>EFEITO!$N$85*EFEITO!$AA$85</f>
        <v>354.89196112934491</v>
      </c>
      <c r="M85" s="61">
        <f>$J$85-EFEITO!$K$85*EFEITO!$Y$85</f>
        <v>0</v>
      </c>
      <c r="N85" s="61">
        <f ca="1">$K$85-EFEITO!$M$85*EFEITO!$Z$85</f>
        <v>0</v>
      </c>
      <c r="O85" s="61">
        <f>$L$85-EFEITO!$O$85*EFEITO!$AA$85</f>
        <v>0</v>
      </c>
      <c r="P85" s="45"/>
      <c r="Q85" s="45"/>
      <c r="R85" s="45"/>
      <c r="S85" s="45"/>
      <c r="T85" s="45"/>
      <c r="U85" s="45"/>
      <c r="V85" s="45"/>
      <c r="W85" s="4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41" t="s">
        <v>21</v>
      </c>
      <c r="B86" s="41" t="s">
        <v>22</v>
      </c>
      <c r="C86" s="41" t="s">
        <v>23</v>
      </c>
      <c r="D86" s="41" t="s">
        <v>24</v>
      </c>
      <c r="E86" s="41" t="s">
        <v>24</v>
      </c>
      <c r="F86" s="41" t="s">
        <v>25</v>
      </c>
      <c r="G86" s="41" t="s">
        <v>25</v>
      </c>
      <c r="H86" s="41" t="s">
        <v>25</v>
      </c>
      <c r="I86" s="60">
        <v>44562</v>
      </c>
      <c r="J86" s="61">
        <f>EFEITO!$J$86*EFEITO!$Y$86</f>
        <v>0</v>
      </c>
      <c r="K86" s="61">
        <f ca="1">EFEITO!$L$86*EFEITO!$Z$86</f>
        <v>233244.54154257791</v>
      </c>
      <c r="L86" s="61">
        <f>EFEITO!$N$86*EFEITO!$AA$86</f>
        <v>99440.421896419939</v>
      </c>
      <c r="M86" s="61">
        <f>$J$86-EFEITO!$K$86*EFEITO!$Y$86</f>
        <v>0</v>
      </c>
      <c r="N86" s="61">
        <f ca="1">$K$86-EFEITO!$M$86*EFEITO!$Z$86</f>
        <v>0</v>
      </c>
      <c r="O86" s="61">
        <f>$L$86-EFEITO!$O$86*EFEITO!$AA$86</f>
        <v>0</v>
      </c>
      <c r="P86" s="45"/>
      <c r="Q86" s="45"/>
      <c r="R86" s="45"/>
      <c r="S86" s="45"/>
      <c r="T86" s="45"/>
      <c r="U86" s="45"/>
      <c r="V86" s="45"/>
      <c r="W86" s="4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41" t="s">
        <v>28</v>
      </c>
      <c r="B87" s="41" t="s">
        <v>22</v>
      </c>
      <c r="C87" s="41" t="s">
        <v>23</v>
      </c>
      <c r="D87" s="41" t="s">
        <v>24</v>
      </c>
      <c r="E87" s="41" t="s">
        <v>24</v>
      </c>
      <c r="F87" s="41" t="s">
        <v>25</v>
      </c>
      <c r="G87" s="41" t="s">
        <v>25</v>
      </c>
      <c r="H87" s="41" t="s">
        <v>25</v>
      </c>
      <c r="I87" s="60">
        <v>44562</v>
      </c>
      <c r="J87" s="61">
        <f>EFEITO!$J$87*EFEITO!$Y$87</f>
        <v>0</v>
      </c>
      <c r="K87" s="61">
        <f ca="1">EFEITO!$L$87*EFEITO!$Z$87</f>
        <v>909.483911817739</v>
      </c>
      <c r="L87" s="61">
        <f>EFEITO!$N$87*EFEITO!$AA$87</f>
        <v>387.74525354820776</v>
      </c>
      <c r="M87" s="61">
        <f>$J$87-EFEITO!$K$87*EFEITO!$Y$87</f>
        <v>0</v>
      </c>
      <c r="N87" s="61">
        <f ca="1">$K$87-EFEITO!$M$87*EFEITO!$Z$87</f>
        <v>0</v>
      </c>
      <c r="O87" s="61">
        <f>$L$87-EFEITO!$O$87*EFEITO!$AA$87</f>
        <v>0</v>
      </c>
      <c r="P87" s="45"/>
      <c r="Q87" s="45"/>
      <c r="R87" s="45"/>
      <c r="S87" s="45"/>
      <c r="T87" s="45"/>
      <c r="U87" s="45"/>
      <c r="V87" s="45"/>
      <c r="W87" s="4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41" t="s">
        <v>21</v>
      </c>
      <c r="B88" s="41" t="s">
        <v>22</v>
      </c>
      <c r="C88" s="41" t="s">
        <v>23</v>
      </c>
      <c r="D88" s="41" t="s">
        <v>24</v>
      </c>
      <c r="E88" s="41" t="s">
        <v>24</v>
      </c>
      <c r="F88" s="41" t="s">
        <v>25</v>
      </c>
      <c r="G88" s="41" t="s">
        <v>25</v>
      </c>
      <c r="H88" s="41" t="s">
        <v>25</v>
      </c>
      <c r="I88" s="60">
        <v>44593</v>
      </c>
      <c r="J88" s="61">
        <f>EFEITO!$J$88*EFEITO!$Y$88</f>
        <v>0</v>
      </c>
      <c r="K88" s="61">
        <f ca="1">EFEITO!$L$88*EFEITO!$Z$88</f>
        <v>298946.91379285941</v>
      </c>
      <c r="L88" s="61">
        <f>EFEITO!$N$88*EFEITO!$AA$88</f>
        <v>127451.67383378184</v>
      </c>
      <c r="M88" s="61">
        <f>$J$88-EFEITO!$K$88*EFEITO!$Y$88</f>
        <v>0</v>
      </c>
      <c r="N88" s="61">
        <f ca="1">$K$88-EFEITO!$M$88*EFEITO!$Z$88</f>
        <v>0</v>
      </c>
      <c r="O88" s="61">
        <f>$L$88-EFEITO!$O$88*EFEITO!$AA$88</f>
        <v>0</v>
      </c>
      <c r="P88" s="45"/>
      <c r="Q88" s="45"/>
      <c r="R88" s="45"/>
      <c r="S88" s="45"/>
      <c r="T88" s="45"/>
      <c r="U88" s="45"/>
      <c r="V88" s="45"/>
      <c r="W88" s="45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41" t="s">
        <v>27</v>
      </c>
      <c r="B89" s="41" t="s">
        <v>22</v>
      </c>
      <c r="C89" s="41" t="s">
        <v>23</v>
      </c>
      <c r="D89" s="41" t="s">
        <v>24</v>
      </c>
      <c r="E89" s="41" t="s">
        <v>24</v>
      </c>
      <c r="F89" s="41" t="s">
        <v>25</v>
      </c>
      <c r="G89" s="41" t="s">
        <v>25</v>
      </c>
      <c r="H89" s="41" t="s">
        <v>25</v>
      </c>
      <c r="I89" s="60">
        <v>44593</v>
      </c>
      <c r="J89" s="61">
        <f>EFEITO!$J$89*EFEITO!$Y$89</f>
        <v>0</v>
      </c>
      <c r="K89" s="61">
        <f ca="1">EFEITO!$L$89*EFEITO!$Z$89</f>
        <v>-1518.3453089410432</v>
      </c>
      <c r="L89" s="61">
        <f>EFEITO!$N$89*EFEITO!$AA$89</f>
        <v>-647.32446516003745</v>
      </c>
      <c r="M89" s="61">
        <f>$J$89-EFEITO!$K$89*EFEITO!$Y$89</f>
        <v>0</v>
      </c>
      <c r="N89" s="61">
        <f ca="1">$K$89-EFEITO!$M$89*EFEITO!$Z$89</f>
        <v>0</v>
      </c>
      <c r="O89" s="61">
        <f>$L$89-EFEITO!$O$89*EFEITO!$AA$89</f>
        <v>0</v>
      </c>
      <c r="P89" s="45"/>
      <c r="Q89" s="45"/>
      <c r="R89" s="45"/>
      <c r="S89" s="45"/>
      <c r="T89" s="45"/>
      <c r="U89" s="45"/>
      <c r="V89" s="45"/>
      <c r="W89" s="45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41" t="s">
        <v>28</v>
      </c>
      <c r="B90" s="41" t="s">
        <v>22</v>
      </c>
      <c r="C90" s="41" t="s">
        <v>23</v>
      </c>
      <c r="D90" s="41" t="s">
        <v>24</v>
      </c>
      <c r="E90" s="41" t="s">
        <v>24</v>
      </c>
      <c r="F90" s="41" t="s">
        <v>25</v>
      </c>
      <c r="G90" s="41" t="s">
        <v>25</v>
      </c>
      <c r="H90" s="41" t="s">
        <v>25</v>
      </c>
      <c r="I90" s="60">
        <v>44593</v>
      </c>
      <c r="J90" s="61">
        <f>EFEITO!$J$90*EFEITO!$Y$90</f>
        <v>0</v>
      </c>
      <c r="K90" s="61">
        <f ca="1">EFEITO!$L$90*EFEITO!$Z$90</f>
        <v>1350.7852187834894</v>
      </c>
      <c r="L90" s="61">
        <f>EFEITO!$N$90*EFEITO!$AA$90</f>
        <v>575.88765490041703</v>
      </c>
      <c r="M90" s="61">
        <f>$J$90-EFEITO!$K$90*EFEITO!$Y$90</f>
        <v>0</v>
      </c>
      <c r="N90" s="61">
        <f ca="1">$K$90-EFEITO!$M$90*EFEITO!$Z$90</f>
        <v>0</v>
      </c>
      <c r="O90" s="61">
        <f>$L$90-EFEITO!$O$90*EFEITO!$AA$90</f>
        <v>0</v>
      </c>
      <c r="P90" s="45"/>
      <c r="Q90" s="45"/>
      <c r="R90" s="45"/>
      <c r="S90" s="45"/>
      <c r="T90" s="45"/>
      <c r="U90" s="45"/>
      <c r="V90" s="45"/>
      <c r="W90" s="4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41" t="s">
        <v>21</v>
      </c>
      <c r="B91" s="41" t="s">
        <v>22</v>
      </c>
      <c r="C91" s="41" t="s">
        <v>23</v>
      </c>
      <c r="D91" s="41" t="s">
        <v>24</v>
      </c>
      <c r="E91" s="41" t="s">
        <v>24</v>
      </c>
      <c r="F91" s="41" t="s">
        <v>25</v>
      </c>
      <c r="G91" s="41" t="s">
        <v>25</v>
      </c>
      <c r="H91" s="41" t="s">
        <v>25</v>
      </c>
      <c r="I91" s="60">
        <v>44621</v>
      </c>
      <c r="J91" s="61">
        <f>EFEITO!$J$91*EFEITO!$Y$91</f>
        <v>0</v>
      </c>
      <c r="K91" s="61">
        <f ca="1">EFEITO!$L$91*EFEITO!$Z$91</f>
        <v>238770.88836635716</v>
      </c>
      <c r="L91" s="61">
        <f>EFEITO!$N$91*EFEITO!$AA$91</f>
        <v>101796.49958238898</v>
      </c>
      <c r="M91" s="61">
        <f>$J$91-EFEITO!$K$91*EFEITO!$Y$91</f>
        <v>0</v>
      </c>
      <c r="N91" s="61">
        <f ca="1">$K$91-EFEITO!$M$91*EFEITO!$Z$91</f>
        <v>0</v>
      </c>
      <c r="O91" s="61">
        <f>$L$91-EFEITO!$O$91*EFEITO!$AA$91</f>
        <v>0</v>
      </c>
      <c r="P91" s="45"/>
      <c r="Q91" s="45"/>
      <c r="R91" s="45"/>
      <c r="S91" s="45"/>
      <c r="T91" s="45"/>
      <c r="U91" s="45"/>
      <c r="V91" s="45"/>
      <c r="W91" s="45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41" t="s">
        <v>27</v>
      </c>
      <c r="B92" s="41" t="s">
        <v>22</v>
      </c>
      <c r="C92" s="41" t="s">
        <v>23</v>
      </c>
      <c r="D92" s="41" t="s">
        <v>24</v>
      </c>
      <c r="E92" s="41" t="s">
        <v>24</v>
      </c>
      <c r="F92" s="41" t="s">
        <v>25</v>
      </c>
      <c r="G92" s="41" t="s">
        <v>25</v>
      </c>
      <c r="H92" s="41" t="s">
        <v>25</v>
      </c>
      <c r="I92" s="60">
        <v>44621</v>
      </c>
      <c r="J92" s="61">
        <f>EFEITO!$J$92*EFEITO!$Y$92</f>
        <v>0</v>
      </c>
      <c r="K92" s="61">
        <f ca="1">EFEITO!$L$92*EFEITO!$Z$92</f>
        <v>-464.15041016905309</v>
      </c>
      <c r="L92" s="61">
        <f>EFEITO!$N$92*EFEITO!$AA$92</f>
        <v>-197.88378456943019</v>
      </c>
      <c r="M92" s="61">
        <f>$J$92-EFEITO!$K$92*EFEITO!$Y$92</f>
        <v>0</v>
      </c>
      <c r="N92" s="61">
        <f ca="1">$K$92-EFEITO!$M$92*EFEITO!$Z$92</f>
        <v>0</v>
      </c>
      <c r="O92" s="61">
        <f>$L$92-EFEITO!$O$92*EFEITO!$AA$92</f>
        <v>0</v>
      </c>
      <c r="P92" s="45"/>
      <c r="Q92" s="45"/>
      <c r="R92" s="45"/>
      <c r="S92" s="45"/>
      <c r="T92" s="45"/>
      <c r="U92" s="45"/>
      <c r="V92" s="45"/>
      <c r="W92" s="45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41" t="s">
        <v>28</v>
      </c>
      <c r="B93" s="41" t="s">
        <v>22</v>
      </c>
      <c r="C93" s="41" t="s">
        <v>23</v>
      </c>
      <c r="D93" s="41" t="s">
        <v>24</v>
      </c>
      <c r="E93" s="41" t="s">
        <v>24</v>
      </c>
      <c r="F93" s="41" t="s">
        <v>25</v>
      </c>
      <c r="G93" s="41" t="s">
        <v>25</v>
      </c>
      <c r="H93" s="41" t="s">
        <v>25</v>
      </c>
      <c r="I93" s="60">
        <v>44621</v>
      </c>
      <c r="J93" s="61">
        <f>EFEITO!$J$93*EFEITO!$Y$93</f>
        <v>0</v>
      </c>
      <c r="K93" s="61">
        <f ca="1">EFEITO!$L$93*EFEITO!$Z$93</f>
        <v>1189.0494098346205</v>
      </c>
      <c r="L93" s="61">
        <f>EFEITO!$N$93*EFEITO!$AA$93</f>
        <v>506.93394232361749</v>
      </c>
      <c r="M93" s="61">
        <f>$J$93-EFEITO!$K$93*EFEITO!$Y$93</f>
        <v>0</v>
      </c>
      <c r="N93" s="61">
        <f ca="1">$K$93-EFEITO!$M$93*EFEITO!$Z$93</f>
        <v>0</v>
      </c>
      <c r="O93" s="61">
        <f>$L$93-EFEITO!$O$93*EFEITO!$AA$93</f>
        <v>0</v>
      </c>
      <c r="P93" s="45"/>
      <c r="Q93" s="45"/>
      <c r="R93" s="45"/>
      <c r="S93" s="45"/>
      <c r="T93" s="45"/>
      <c r="U93" s="45"/>
      <c r="V93" s="45"/>
      <c r="W93" s="45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41" t="s">
        <v>21</v>
      </c>
      <c r="B94" s="41" t="s">
        <v>22</v>
      </c>
      <c r="C94" s="41" t="s">
        <v>23</v>
      </c>
      <c r="D94" s="41" t="s">
        <v>24</v>
      </c>
      <c r="E94" s="41" t="s">
        <v>24</v>
      </c>
      <c r="F94" s="41" t="s">
        <v>25</v>
      </c>
      <c r="G94" s="41" t="s">
        <v>25</v>
      </c>
      <c r="H94" s="41" t="s">
        <v>25</v>
      </c>
      <c r="I94" s="60">
        <v>44652</v>
      </c>
      <c r="J94" s="61">
        <f>EFEITO!$J$94*EFEITO!$Y$94</f>
        <v>0</v>
      </c>
      <c r="K94" s="61">
        <f ca="1">EFEITO!$L$94*EFEITO!$Z$94</f>
        <v>212416.46391868879</v>
      </c>
      <c r="L94" s="61">
        <f>EFEITO!$N$94*EFEITO!$AA$94</f>
        <v>90560.673575137844</v>
      </c>
      <c r="M94" s="61">
        <f>$J$94-EFEITO!$K$94*EFEITO!$Y$94</f>
        <v>0</v>
      </c>
      <c r="N94" s="61">
        <f ca="1">$K$94-EFEITO!$M$94*EFEITO!$Z$94</f>
        <v>0</v>
      </c>
      <c r="O94" s="61">
        <f>$L$94-EFEITO!$O$94*EFEITO!$AA$94</f>
        <v>0</v>
      </c>
      <c r="P94" s="45"/>
      <c r="Q94" s="45"/>
      <c r="R94" s="45"/>
      <c r="S94" s="45"/>
      <c r="T94" s="45"/>
      <c r="U94" s="45"/>
      <c r="V94" s="45"/>
      <c r="W94" s="45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41" t="s">
        <v>27</v>
      </c>
      <c r="B95" s="41" t="s">
        <v>22</v>
      </c>
      <c r="C95" s="41" t="s">
        <v>23</v>
      </c>
      <c r="D95" s="41" t="s">
        <v>24</v>
      </c>
      <c r="E95" s="41" t="s">
        <v>24</v>
      </c>
      <c r="F95" s="41" t="s">
        <v>25</v>
      </c>
      <c r="G95" s="41" t="s">
        <v>25</v>
      </c>
      <c r="H95" s="41" t="s">
        <v>25</v>
      </c>
      <c r="I95" s="60">
        <v>44652</v>
      </c>
      <c r="J95" s="61">
        <f>EFEITO!$J$95*EFEITO!$Y$95</f>
        <v>0</v>
      </c>
      <c r="K95" s="61">
        <f ca="1">EFEITO!$L$95*EFEITO!$Z$95</f>
        <v>-340.49643989235551</v>
      </c>
      <c r="L95" s="61">
        <f>EFEITO!$N$95*EFEITO!$AA$95</f>
        <v>-145.16571068799897</v>
      </c>
      <c r="M95" s="61">
        <f>$J$95-EFEITO!$K$95*EFEITO!$Y$95</f>
        <v>0</v>
      </c>
      <c r="N95" s="61">
        <f ca="1">$K$95-EFEITO!$M$95*EFEITO!$Z$95</f>
        <v>0</v>
      </c>
      <c r="O95" s="61">
        <f>$L$95-EFEITO!$O$95*EFEITO!$AA$95</f>
        <v>0</v>
      </c>
      <c r="P95" s="45"/>
      <c r="Q95" s="45"/>
      <c r="R95" s="45"/>
      <c r="S95" s="45"/>
      <c r="T95" s="45"/>
      <c r="U95" s="45"/>
      <c r="V95" s="45"/>
      <c r="W95" s="45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41" t="s">
        <v>28</v>
      </c>
      <c r="B96" s="41" t="s">
        <v>22</v>
      </c>
      <c r="C96" s="41" t="s">
        <v>23</v>
      </c>
      <c r="D96" s="41" t="s">
        <v>24</v>
      </c>
      <c r="E96" s="41" t="s">
        <v>24</v>
      </c>
      <c r="F96" s="41" t="s">
        <v>25</v>
      </c>
      <c r="G96" s="41" t="s">
        <v>25</v>
      </c>
      <c r="H96" s="41" t="s">
        <v>25</v>
      </c>
      <c r="I96" s="60">
        <v>44652</v>
      </c>
      <c r="J96" s="61">
        <f>EFEITO!$J$96*EFEITO!$Y$96</f>
        <v>0</v>
      </c>
      <c r="K96" s="61">
        <f ca="1">EFEITO!$L$96*EFEITO!$Z$96</f>
        <v>1226.6832268753544</v>
      </c>
      <c r="L96" s="61">
        <f>EFEITO!$N$96*EFEITO!$AA$96</f>
        <v>522.97857350492268</v>
      </c>
      <c r="M96" s="61">
        <f>$J$96-EFEITO!$K$96*EFEITO!$Y$96</f>
        <v>0</v>
      </c>
      <c r="N96" s="61">
        <f ca="1">$K$96-EFEITO!$M$96*EFEITO!$Z$96</f>
        <v>0</v>
      </c>
      <c r="O96" s="61">
        <f>$L$96-EFEITO!$O$96*EFEITO!$AA$96</f>
        <v>0</v>
      </c>
      <c r="P96" s="45"/>
      <c r="Q96" s="45"/>
      <c r="R96" s="45"/>
      <c r="S96" s="45"/>
      <c r="T96" s="45"/>
      <c r="U96" s="45"/>
      <c r="V96" s="45"/>
      <c r="W96" s="45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41" t="s">
        <v>21</v>
      </c>
      <c r="B97" s="41" t="s">
        <v>22</v>
      </c>
      <c r="C97" s="41" t="s">
        <v>23</v>
      </c>
      <c r="D97" s="41" t="s">
        <v>24</v>
      </c>
      <c r="E97" s="41" t="s">
        <v>24</v>
      </c>
      <c r="F97" s="41" t="s">
        <v>25</v>
      </c>
      <c r="G97" s="41" t="s">
        <v>25</v>
      </c>
      <c r="H97" s="41" t="s">
        <v>25</v>
      </c>
      <c r="I97" s="60">
        <v>44682</v>
      </c>
      <c r="J97" s="61">
        <f>EFEITO!$J$97*EFEITO!$Y$97</f>
        <v>0</v>
      </c>
      <c r="K97" s="61">
        <f ca="1">EFEITO!$L$97*EFEITO!$Z$97</f>
        <v>189132.77973289182</v>
      </c>
      <c r="L97" s="61">
        <f>EFEITO!$N$97*EFEITO!$AA$97</f>
        <v>80634.013069275607</v>
      </c>
      <c r="M97" s="61">
        <f>$J$97-EFEITO!$K$97*EFEITO!$Y$97</f>
        <v>0</v>
      </c>
      <c r="N97" s="61">
        <f ca="1">$K$97-EFEITO!$M$97*EFEITO!$Z$97</f>
        <v>0</v>
      </c>
      <c r="O97" s="61">
        <f>$L$97-EFEITO!$O$97*EFEITO!$AA$97</f>
        <v>0</v>
      </c>
      <c r="P97" s="45"/>
      <c r="Q97" s="45"/>
      <c r="R97" s="45"/>
      <c r="S97" s="45"/>
      <c r="T97" s="45"/>
      <c r="U97" s="45"/>
      <c r="V97" s="45"/>
      <c r="W97" s="4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41" t="s">
        <v>27</v>
      </c>
      <c r="B98" s="41" t="s">
        <v>22</v>
      </c>
      <c r="C98" s="41" t="s">
        <v>23</v>
      </c>
      <c r="D98" s="41" t="s">
        <v>24</v>
      </c>
      <c r="E98" s="41" t="s">
        <v>24</v>
      </c>
      <c r="F98" s="41" t="s">
        <v>25</v>
      </c>
      <c r="G98" s="41" t="s">
        <v>25</v>
      </c>
      <c r="H98" s="41" t="s">
        <v>25</v>
      </c>
      <c r="I98" s="60">
        <v>44682</v>
      </c>
      <c r="J98" s="61">
        <f>EFEITO!$J$98*EFEITO!$Y$98</f>
        <v>0</v>
      </c>
      <c r="K98" s="61">
        <f ca="1">EFEITO!$L$98*EFEITO!$Z$98</f>
        <v>-437.26911228281443</v>
      </c>
      <c r="L98" s="61">
        <f>EFEITO!$N$98*EFEITO!$AA$98</f>
        <v>-186.42333372564079</v>
      </c>
      <c r="M98" s="61">
        <f>$J$98-EFEITO!$K$98*EFEITO!$Y$98</f>
        <v>0</v>
      </c>
      <c r="N98" s="61">
        <f ca="1">$K$98-EFEITO!$M$98*EFEITO!$Z$98</f>
        <v>0</v>
      </c>
      <c r="O98" s="61">
        <f>$L$98-EFEITO!$O$98*EFEITO!$AA$98</f>
        <v>0</v>
      </c>
      <c r="P98" s="45"/>
      <c r="Q98" s="45"/>
      <c r="R98" s="45"/>
      <c r="S98" s="45"/>
      <c r="T98" s="45"/>
      <c r="U98" s="45"/>
      <c r="V98" s="45"/>
      <c r="W98" s="45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41" t="s">
        <v>28</v>
      </c>
      <c r="B99" s="41" t="s">
        <v>22</v>
      </c>
      <c r="C99" s="41" t="s">
        <v>23</v>
      </c>
      <c r="D99" s="41" t="s">
        <v>24</v>
      </c>
      <c r="E99" s="41" t="s">
        <v>24</v>
      </c>
      <c r="F99" s="41" t="s">
        <v>25</v>
      </c>
      <c r="G99" s="41" t="s">
        <v>25</v>
      </c>
      <c r="H99" s="41" t="s">
        <v>25</v>
      </c>
      <c r="I99" s="60">
        <v>44682</v>
      </c>
      <c r="J99" s="61">
        <f>EFEITO!$J$99*EFEITO!$Y$99</f>
        <v>0</v>
      </c>
      <c r="K99" s="61">
        <f ca="1">EFEITO!$L$99*EFEITO!$Z$99</f>
        <v>954.73409659290735</v>
      </c>
      <c r="L99" s="61">
        <f>EFEITO!$N$99*EFEITO!$AA$99</f>
        <v>407.03701246858657</v>
      </c>
      <c r="M99" s="61">
        <f>$J$99-EFEITO!$K$99*EFEITO!$Y$99</f>
        <v>0</v>
      </c>
      <c r="N99" s="61">
        <f ca="1">$K$99-EFEITO!$M$99*EFEITO!$Z$99</f>
        <v>0</v>
      </c>
      <c r="O99" s="61">
        <f>$L$99-EFEITO!$O$99*EFEITO!$AA$99</f>
        <v>0</v>
      </c>
      <c r="P99" s="45"/>
      <c r="Q99" s="45"/>
      <c r="R99" s="45"/>
      <c r="S99" s="45"/>
      <c r="T99" s="45"/>
      <c r="U99" s="45"/>
      <c r="V99" s="45"/>
      <c r="W99" s="45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41" t="s">
        <v>21</v>
      </c>
      <c r="B100" s="41" t="s">
        <v>22</v>
      </c>
      <c r="C100" s="41" t="s">
        <v>23</v>
      </c>
      <c r="D100" s="41" t="s">
        <v>24</v>
      </c>
      <c r="E100" s="41" t="s">
        <v>24</v>
      </c>
      <c r="F100" s="41" t="s">
        <v>25</v>
      </c>
      <c r="G100" s="41" t="s">
        <v>25</v>
      </c>
      <c r="H100" s="41" t="s">
        <v>25</v>
      </c>
      <c r="I100" s="60">
        <v>44713</v>
      </c>
      <c r="J100" s="61">
        <f>EFEITO!$J$100*EFEITO!$Y$100</f>
        <v>0</v>
      </c>
      <c r="K100" s="61">
        <f ca="1">EFEITO!$L$100*EFEITO!$Z$100</f>
        <v>213513.66889407879</v>
      </c>
      <c r="L100" s="61">
        <f>EFEITO!$N$100*EFEITO!$AA$100</f>
        <v>91028.450977078508</v>
      </c>
      <c r="M100" s="61">
        <f>$J$100-EFEITO!$K$100*EFEITO!$Y$100</f>
        <v>0</v>
      </c>
      <c r="N100" s="61">
        <f ca="1">$K$100-EFEITO!$M$100*EFEITO!$Z$100</f>
        <v>0</v>
      </c>
      <c r="O100" s="61">
        <f>$L$100-EFEITO!$O$100*EFEITO!$AA$100</f>
        <v>0</v>
      </c>
      <c r="P100" s="45"/>
      <c r="Q100" s="45"/>
      <c r="R100" s="45"/>
      <c r="S100" s="45"/>
      <c r="T100" s="45"/>
      <c r="U100" s="45"/>
      <c r="V100" s="45"/>
      <c r="W100" s="45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41" t="s">
        <v>27</v>
      </c>
      <c r="B101" s="41" t="s">
        <v>22</v>
      </c>
      <c r="C101" s="41" t="s">
        <v>23</v>
      </c>
      <c r="D101" s="41" t="s">
        <v>24</v>
      </c>
      <c r="E101" s="41" t="s">
        <v>24</v>
      </c>
      <c r="F101" s="41" t="s">
        <v>25</v>
      </c>
      <c r="G101" s="41" t="s">
        <v>25</v>
      </c>
      <c r="H101" s="41" t="s">
        <v>25</v>
      </c>
      <c r="I101" s="60">
        <v>44713</v>
      </c>
      <c r="J101" s="61">
        <f>EFEITO!$J$101*EFEITO!$Y$101</f>
        <v>0</v>
      </c>
      <c r="K101" s="61">
        <f ca="1">EFEITO!$L$101*EFEITO!$Z$101</f>
        <v>-31.361514200611698</v>
      </c>
      <c r="L101" s="61">
        <f>EFEITO!$N$101*EFEITO!$AA$101</f>
        <v>-13.37052598442096</v>
      </c>
      <c r="M101" s="61">
        <f>$J$101-EFEITO!$K$101*EFEITO!$Y$101</f>
        <v>0</v>
      </c>
      <c r="N101" s="61">
        <f ca="1">$K$101-EFEITO!$M$101*EFEITO!$Z$101</f>
        <v>0</v>
      </c>
      <c r="O101" s="61">
        <f>$L$101-EFEITO!$O$101*EFEITO!$AA$101</f>
        <v>0</v>
      </c>
      <c r="P101" s="45"/>
      <c r="Q101" s="45"/>
      <c r="R101" s="45"/>
      <c r="S101" s="45"/>
      <c r="T101" s="45"/>
      <c r="U101" s="45"/>
      <c r="V101" s="45"/>
      <c r="W101" s="45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41" t="s">
        <v>28</v>
      </c>
      <c r="B102" s="41" t="s">
        <v>22</v>
      </c>
      <c r="C102" s="41" t="s">
        <v>23</v>
      </c>
      <c r="D102" s="41" t="s">
        <v>24</v>
      </c>
      <c r="E102" s="41" t="s">
        <v>24</v>
      </c>
      <c r="F102" s="41" t="s">
        <v>25</v>
      </c>
      <c r="G102" s="41" t="s">
        <v>25</v>
      </c>
      <c r="H102" s="41" t="s">
        <v>25</v>
      </c>
      <c r="I102" s="60">
        <v>44713</v>
      </c>
      <c r="J102" s="61">
        <f>EFEITO!$J$102*EFEITO!$Y$102</f>
        <v>0</v>
      </c>
      <c r="K102" s="61">
        <f ca="1">EFEITO!$L$102*EFEITO!$Z$102</f>
        <v>1236.091681135538</v>
      </c>
      <c r="L102" s="61">
        <f>EFEITO!$N$102*EFEITO!$AA$102</f>
        <v>526.98973130024888</v>
      </c>
      <c r="M102" s="61">
        <f>$J$102-EFEITO!$K$102*EFEITO!$Y$102</f>
        <v>0</v>
      </c>
      <c r="N102" s="61">
        <f ca="1">$K$102-EFEITO!$M$102*EFEITO!$Z$102</f>
        <v>0</v>
      </c>
      <c r="O102" s="61">
        <f>$L$102-EFEITO!$O$102*EFEITO!$AA$102</f>
        <v>0</v>
      </c>
      <c r="P102" s="45"/>
      <c r="Q102" s="45"/>
      <c r="R102" s="45"/>
      <c r="S102" s="45"/>
      <c r="T102" s="45"/>
      <c r="U102" s="45"/>
      <c r="V102" s="45"/>
      <c r="W102" s="45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41" t="s">
        <v>21</v>
      </c>
      <c r="B103" s="41" t="s">
        <v>22</v>
      </c>
      <c r="C103" s="41" t="s">
        <v>23</v>
      </c>
      <c r="D103" s="41" t="s">
        <v>24</v>
      </c>
      <c r="E103" s="41" t="s">
        <v>24</v>
      </c>
      <c r="F103" s="41" t="s">
        <v>25</v>
      </c>
      <c r="G103" s="41" t="s">
        <v>25</v>
      </c>
      <c r="H103" s="41" t="s">
        <v>25</v>
      </c>
      <c r="I103" s="60">
        <v>44743</v>
      </c>
      <c r="J103" s="61">
        <f>EFEITO!$J$103*EFEITO!$Y$103</f>
        <v>0</v>
      </c>
      <c r="K103" s="61">
        <f ca="1">EFEITO!$L$103*EFEITO!$Z$103</f>
        <v>216314.70013382484</v>
      </c>
      <c r="L103" s="61">
        <f>EFEITO!$N$103*EFEITO!$AA$103</f>
        <v>92222.629955001365</v>
      </c>
      <c r="M103" s="61">
        <f>$J$103-EFEITO!$K$103*EFEITO!$Y$103</f>
        <v>0</v>
      </c>
      <c r="N103" s="61">
        <f ca="1">$K$103-EFEITO!$M$103*EFEITO!$Z$103</f>
        <v>0</v>
      </c>
      <c r="O103" s="61">
        <f>$L$103-EFEITO!$O$103*EFEITO!$AA$103</f>
        <v>0</v>
      </c>
      <c r="P103" s="45"/>
      <c r="Q103" s="45"/>
      <c r="R103" s="45"/>
      <c r="S103" s="45"/>
      <c r="T103" s="45"/>
      <c r="U103" s="45"/>
      <c r="V103" s="45"/>
      <c r="W103" s="45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41" t="s">
        <v>28</v>
      </c>
      <c r="B104" s="41" t="s">
        <v>22</v>
      </c>
      <c r="C104" s="41" t="s">
        <v>23</v>
      </c>
      <c r="D104" s="41" t="s">
        <v>24</v>
      </c>
      <c r="E104" s="41" t="s">
        <v>24</v>
      </c>
      <c r="F104" s="41" t="s">
        <v>25</v>
      </c>
      <c r="G104" s="41" t="s">
        <v>25</v>
      </c>
      <c r="H104" s="41" t="s">
        <v>25</v>
      </c>
      <c r="I104" s="60">
        <v>44743</v>
      </c>
      <c r="J104" s="61">
        <f>EFEITO!$J$104*EFEITO!$Y$104</f>
        <v>0</v>
      </c>
      <c r="K104" s="61">
        <f ca="1">EFEITO!$L$104*EFEITO!$Z$104</f>
        <v>1425.1568096020828</v>
      </c>
      <c r="L104" s="61">
        <f>EFEITO!$N$104*EFEITO!$AA$104</f>
        <v>607.59490223490104</v>
      </c>
      <c r="M104" s="61">
        <f>$J$104-EFEITO!$K$104*EFEITO!$Y$104</f>
        <v>0</v>
      </c>
      <c r="N104" s="61">
        <f ca="1">$K$104-EFEITO!$M$104*EFEITO!$Z$104</f>
        <v>0</v>
      </c>
      <c r="O104" s="61">
        <f>$L$104-EFEITO!$O$104*EFEITO!$AA$104</f>
        <v>0</v>
      </c>
      <c r="P104" s="45"/>
      <c r="Q104" s="45"/>
      <c r="R104" s="45"/>
      <c r="S104" s="45"/>
      <c r="T104" s="45"/>
      <c r="U104" s="45"/>
      <c r="V104" s="45"/>
      <c r="W104" s="45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41" t="s">
        <v>55</v>
      </c>
      <c r="B105" s="41" t="s">
        <v>22</v>
      </c>
      <c r="C105" s="41" t="s">
        <v>23</v>
      </c>
      <c r="D105" s="41" t="s">
        <v>24</v>
      </c>
      <c r="E105" s="41" t="s">
        <v>24</v>
      </c>
      <c r="F105" s="41" t="s">
        <v>25</v>
      </c>
      <c r="G105" s="41" t="s">
        <v>25</v>
      </c>
      <c r="H105" s="41" t="s">
        <v>25</v>
      </c>
      <c r="I105" s="60">
        <v>44774</v>
      </c>
      <c r="J105" s="61">
        <f>EFEITO!$J$105*EFEITO!$Y$105</f>
        <v>0</v>
      </c>
      <c r="K105" s="61">
        <f ca="1">EFEITO!$L$105*EFEITO!$Z$105</f>
        <v>216314.70013382484</v>
      </c>
      <c r="L105" s="61">
        <f>EFEITO!$N$105*EFEITO!$AA$105</f>
        <v>92222.629955001365</v>
      </c>
      <c r="M105" s="61">
        <f>$J$105-EFEITO!$K$105*EFEITO!$Y$105</f>
        <v>0</v>
      </c>
      <c r="N105" s="61">
        <f ca="1">$K$105-EFEITO!$M$105*EFEITO!$Z$105</f>
        <v>0</v>
      </c>
      <c r="O105" s="61">
        <f>$L$105-EFEITO!$O$105*EFEITO!$AA$105</f>
        <v>0</v>
      </c>
      <c r="P105" s="45"/>
      <c r="Q105" s="45"/>
      <c r="R105" s="45"/>
      <c r="S105" s="45"/>
      <c r="T105" s="45"/>
      <c r="U105" s="45"/>
      <c r="V105" s="45"/>
      <c r="W105" s="45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41" t="s">
        <v>55</v>
      </c>
      <c r="B106" s="41" t="s">
        <v>22</v>
      </c>
      <c r="C106" s="41" t="s">
        <v>23</v>
      </c>
      <c r="D106" s="41" t="s">
        <v>24</v>
      </c>
      <c r="E106" s="41" t="s">
        <v>24</v>
      </c>
      <c r="F106" s="41" t="s">
        <v>25</v>
      </c>
      <c r="G106" s="41" t="s">
        <v>25</v>
      </c>
      <c r="H106" s="41" t="s">
        <v>25</v>
      </c>
      <c r="I106" s="60">
        <v>44774</v>
      </c>
      <c r="J106" s="61">
        <f>EFEITO!$J$106*EFEITO!$Y$106</f>
        <v>0</v>
      </c>
      <c r="K106" s="61">
        <f ca="1">EFEITO!$L$106*EFEITO!$Z$106</f>
        <v>1425.1568096020828</v>
      </c>
      <c r="L106" s="61">
        <f>EFEITO!$N$106*EFEITO!$AA$106</f>
        <v>607.59490223490104</v>
      </c>
      <c r="M106" s="61">
        <f>$J$106-EFEITO!$K$106*EFEITO!$Y$106</f>
        <v>0</v>
      </c>
      <c r="N106" s="61">
        <f ca="1">$K$106-EFEITO!$M$106*EFEITO!$Z$106</f>
        <v>0</v>
      </c>
      <c r="O106" s="61">
        <f>$L$106-EFEITO!$O$106*EFEITO!$AA$106</f>
        <v>0</v>
      </c>
      <c r="P106" s="45"/>
      <c r="Q106" s="45"/>
      <c r="R106" s="45"/>
      <c r="S106" s="45"/>
      <c r="T106" s="45"/>
      <c r="U106" s="45"/>
      <c r="V106" s="45"/>
      <c r="W106" s="45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41" t="s">
        <v>21</v>
      </c>
      <c r="B107" s="41" t="s">
        <v>22</v>
      </c>
      <c r="C107" s="41" t="s">
        <v>23</v>
      </c>
      <c r="D107" s="41" t="s">
        <v>24</v>
      </c>
      <c r="E107" s="41" t="s">
        <v>29</v>
      </c>
      <c r="F107" s="41" t="s">
        <v>25</v>
      </c>
      <c r="G107" s="41" t="s">
        <v>25</v>
      </c>
      <c r="H107" s="41" t="s">
        <v>25</v>
      </c>
      <c r="I107" s="60">
        <v>44440</v>
      </c>
      <c r="J107" s="61">
        <f>EFEITO!$J$107*EFEITO!$Y$74</f>
        <v>0</v>
      </c>
      <c r="K107" s="61">
        <f ca="1">EFEITO!$L$107*EFEITO!$Z$147</f>
        <v>1727.6805835665939</v>
      </c>
      <c r="L107" s="61">
        <f>EFEITO!$N$107*EFEITO!$AA$147</f>
        <v>951.21742003451971</v>
      </c>
      <c r="M107" s="61">
        <f>$J$107-EFEITO!$K$107*EFEITO!$Y$107</f>
        <v>0</v>
      </c>
      <c r="N107" s="61">
        <f ca="1">$K$107-EFEITO!$M$107*EFEITO!$Z$107</f>
        <v>1122.9923793182861</v>
      </c>
      <c r="O107" s="61">
        <f>$L$107-EFEITO!$O$107*EFEITO!$AA$107</f>
        <v>618.29132302243784</v>
      </c>
      <c r="P107" s="45"/>
      <c r="Q107" s="45"/>
      <c r="R107" s="45"/>
      <c r="S107" s="45"/>
      <c r="T107" s="45"/>
      <c r="U107" s="45"/>
      <c r="V107" s="45"/>
      <c r="W107" s="45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41" t="s">
        <v>21</v>
      </c>
      <c r="B108" s="41" t="s">
        <v>22</v>
      </c>
      <c r="C108" s="41" t="s">
        <v>23</v>
      </c>
      <c r="D108" s="41" t="s">
        <v>24</v>
      </c>
      <c r="E108" s="41" t="s">
        <v>29</v>
      </c>
      <c r="F108" s="41" t="s">
        <v>25</v>
      </c>
      <c r="G108" s="41" t="s">
        <v>25</v>
      </c>
      <c r="H108" s="41" t="s">
        <v>25</v>
      </c>
      <c r="I108" s="60">
        <v>44470</v>
      </c>
      <c r="J108" s="61">
        <f>EFEITO!$J$108*EFEITO!$Y$74</f>
        <v>0</v>
      </c>
      <c r="K108" s="61">
        <f ca="1">EFEITO!$L$108*EFEITO!$Z$147</f>
        <v>1790.1268697196031</v>
      </c>
      <c r="L108" s="61">
        <f>EFEITO!$N$108*EFEITO!$AA$147</f>
        <v>985.59877256588777</v>
      </c>
      <c r="M108" s="61">
        <f>$J$108-EFEITO!$K$108*EFEITO!$Y$108</f>
        <v>0</v>
      </c>
      <c r="N108" s="61">
        <f ca="1">$K$108-EFEITO!$M$108*EFEITO!$Z$108</f>
        <v>1163.5824653177419</v>
      </c>
      <c r="O108" s="61">
        <f>$L$108-EFEITO!$O$108*EFEITO!$AA$108</f>
        <v>640.63920216782708</v>
      </c>
      <c r="P108" s="45"/>
      <c r="Q108" s="45"/>
      <c r="R108" s="45"/>
      <c r="S108" s="45"/>
      <c r="T108" s="45"/>
      <c r="U108" s="45"/>
      <c r="V108" s="45"/>
      <c r="W108" s="45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41" t="s">
        <v>21</v>
      </c>
      <c r="B109" s="41" t="s">
        <v>22</v>
      </c>
      <c r="C109" s="41" t="s">
        <v>23</v>
      </c>
      <c r="D109" s="41" t="s">
        <v>24</v>
      </c>
      <c r="E109" s="41" t="s">
        <v>29</v>
      </c>
      <c r="F109" s="41" t="s">
        <v>25</v>
      </c>
      <c r="G109" s="41" t="s">
        <v>25</v>
      </c>
      <c r="H109" s="41" t="s">
        <v>25</v>
      </c>
      <c r="I109" s="60">
        <v>44501</v>
      </c>
      <c r="J109" s="61">
        <f>EFEITO!$J$109*EFEITO!$Y$74</f>
        <v>0</v>
      </c>
      <c r="K109" s="61">
        <f ca="1">EFEITO!$L$109*EFEITO!$Z$147</f>
        <v>1852.5731558726125</v>
      </c>
      <c r="L109" s="61">
        <f>EFEITO!$N$109*EFEITO!$AA$147</f>
        <v>1019.980125097256</v>
      </c>
      <c r="M109" s="61">
        <f>$J$109-EFEITO!$K$109*EFEITO!$Y$109</f>
        <v>0</v>
      </c>
      <c r="N109" s="61">
        <f ca="1">$K$109-EFEITO!$M$109*EFEITO!$Z$109</f>
        <v>1204.1725513171982</v>
      </c>
      <c r="O109" s="61">
        <f>$L$109-EFEITO!$O$109*EFEITO!$AA$109</f>
        <v>662.98708131321644</v>
      </c>
      <c r="P109" s="45"/>
      <c r="Q109" s="45"/>
      <c r="R109" s="45"/>
      <c r="S109" s="45"/>
      <c r="T109" s="45"/>
      <c r="U109" s="45"/>
      <c r="V109" s="45"/>
      <c r="W109" s="45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41" t="s">
        <v>21</v>
      </c>
      <c r="B110" s="41" t="s">
        <v>22</v>
      </c>
      <c r="C110" s="41" t="s">
        <v>23</v>
      </c>
      <c r="D110" s="41" t="s">
        <v>24</v>
      </c>
      <c r="E110" s="41" t="s">
        <v>29</v>
      </c>
      <c r="F110" s="41" t="s">
        <v>25</v>
      </c>
      <c r="G110" s="41" t="s">
        <v>25</v>
      </c>
      <c r="H110" s="41" t="s">
        <v>25</v>
      </c>
      <c r="I110" s="60">
        <v>44531</v>
      </c>
      <c r="J110" s="61">
        <f>EFEITO!$J$110*EFEITO!$Y$74</f>
        <v>0</v>
      </c>
      <c r="K110" s="61">
        <f ca="1">EFEITO!$L$110*EFEITO!$Z$147</f>
        <v>1862.9808702314474</v>
      </c>
      <c r="L110" s="61">
        <f>EFEITO!$N$110*EFEITO!$AA$147</f>
        <v>1025.7103505191508</v>
      </c>
      <c r="M110" s="61">
        <f>$J$110-EFEITO!$K$110*EFEITO!$Y$110</f>
        <v>0</v>
      </c>
      <c r="N110" s="61">
        <f ca="1">$K$110-EFEITO!$M$110*EFEITO!$Z$110</f>
        <v>1210.9375656504408</v>
      </c>
      <c r="O110" s="61">
        <f>$L$110-EFEITO!$O$110*EFEITO!$AA$110</f>
        <v>666.71172783744805</v>
      </c>
      <c r="P110" s="45"/>
      <c r="Q110" s="45"/>
      <c r="R110" s="45"/>
      <c r="S110" s="45"/>
      <c r="T110" s="45"/>
      <c r="U110" s="45"/>
      <c r="V110" s="45"/>
      <c r="W110" s="45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41" t="s">
        <v>21</v>
      </c>
      <c r="B111" s="41" t="s">
        <v>22</v>
      </c>
      <c r="C111" s="41" t="s">
        <v>23</v>
      </c>
      <c r="D111" s="41" t="s">
        <v>24</v>
      </c>
      <c r="E111" s="41" t="s">
        <v>29</v>
      </c>
      <c r="F111" s="41" t="s">
        <v>25</v>
      </c>
      <c r="G111" s="41" t="s">
        <v>25</v>
      </c>
      <c r="H111" s="41" t="s">
        <v>25</v>
      </c>
      <c r="I111" s="60">
        <v>44562</v>
      </c>
      <c r="J111" s="61">
        <f>EFEITO!$J$111*EFEITO!$Y$74</f>
        <v>0</v>
      </c>
      <c r="K111" s="61">
        <f ca="1">EFEITO!$L$111*EFEITO!$Z$147</f>
        <v>1915.0194420256216</v>
      </c>
      <c r="L111" s="61">
        <f>EFEITO!$N$111*EFEITO!$AA$147</f>
        <v>1054.361477628624</v>
      </c>
      <c r="M111" s="61">
        <f>$J$111-EFEITO!$K$111*EFEITO!$Y$111</f>
        <v>0</v>
      </c>
      <c r="N111" s="61">
        <f ca="1">$K$111-EFEITO!$M$111*EFEITO!$Z$111</f>
        <v>1244.762637316654</v>
      </c>
      <c r="O111" s="61">
        <f>$L$111-EFEITO!$O$111*EFEITO!$AA$111</f>
        <v>685.33496045860556</v>
      </c>
      <c r="P111" s="45"/>
      <c r="Q111" s="45"/>
      <c r="R111" s="45"/>
      <c r="S111" s="45"/>
      <c r="T111" s="45"/>
      <c r="U111" s="45"/>
      <c r="V111" s="45"/>
      <c r="W111" s="45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41" t="s">
        <v>21</v>
      </c>
      <c r="B112" s="41" t="s">
        <v>22</v>
      </c>
      <c r="C112" s="41" t="s">
        <v>23</v>
      </c>
      <c r="D112" s="41" t="s">
        <v>24</v>
      </c>
      <c r="E112" s="41" t="s">
        <v>29</v>
      </c>
      <c r="F112" s="41" t="s">
        <v>25</v>
      </c>
      <c r="G112" s="41" t="s">
        <v>25</v>
      </c>
      <c r="H112" s="41" t="s">
        <v>25</v>
      </c>
      <c r="I112" s="60">
        <v>44593</v>
      </c>
      <c r="J112" s="61">
        <f>EFEITO!$J$112*EFEITO!$Y$74</f>
        <v>0</v>
      </c>
      <c r="K112" s="61">
        <f ca="1">EFEITO!$L$112*EFEITO!$Z$147</f>
        <v>1998.2811568963009</v>
      </c>
      <c r="L112" s="61">
        <f>EFEITO!$N$112*EFEITO!$AA$147</f>
        <v>1100.2032810037817</v>
      </c>
      <c r="M112" s="61">
        <f>$J$112-EFEITO!$K$112*EFEITO!$Y$112</f>
        <v>0</v>
      </c>
      <c r="N112" s="61">
        <f ca="1">$K$112-EFEITO!$M$112*EFEITO!$Z$112</f>
        <v>1298.8827519825954</v>
      </c>
      <c r="O112" s="61">
        <f>$L$112-EFEITO!$O$112*EFEITO!$AA$112</f>
        <v>715.13213265245827</v>
      </c>
      <c r="P112" s="45"/>
      <c r="Q112" s="45"/>
      <c r="R112" s="45"/>
      <c r="S112" s="45"/>
      <c r="T112" s="45"/>
      <c r="U112" s="45"/>
      <c r="V112" s="45"/>
      <c r="W112" s="45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41" t="s">
        <v>21</v>
      </c>
      <c r="B113" s="41" t="s">
        <v>22</v>
      </c>
      <c r="C113" s="41" t="s">
        <v>23</v>
      </c>
      <c r="D113" s="41" t="s">
        <v>24</v>
      </c>
      <c r="E113" s="41" t="s">
        <v>29</v>
      </c>
      <c r="F113" s="41" t="s">
        <v>25</v>
      </c>
      <c r="G113" s="41" t="s">
        <v>25</v>
      </c>
      <c r="H113" s="41" t="s">
        <v>25</v>
      </c>
      <c r="I113" s="60">
        <v>44621</v>
      </c>
      <c r="J113" s="61">
        <f>EFEITO!$J$113*EFEITO!$Y$74</f>
        <v>0</v>
      </c>
      <c r="K113" s="61">
        <f ca="1">EFEITO!$L$113*EFEITO!$Z$147</f>
        <v>2497.8514461203763</v>
      </c>
      <c r="L113" s="61">
        <f>EFEITO!$N$113*EFEITO!$AA$147</f>
        <v>1375.2541012547272</v>
      </c>
      <c r="M113" s="61">
        <f>$J$113-EFEITO!$K$113*EFEITO!$Y$113</f>
        <v>0</v>
      </c>
      <c r="N113" s="61">
        <f ca="1">$K$113-EFEITO!$M$113*EFEITO!$Z$113</f>
        <v>1623.6034399782448</v>
      </c>
      <c r="O113" s="61">
        <f>$L$113-EFEITO!$O$113*EFEITO!$AA$113</f>
        <v>893.91516581557266</v>
      </c>
      <c r="P113" s="45"/>
      <c r="Q113" s="45"/>
      <c r="R113" s="45"/>
      <c r="S113" s="45"/>
      <c r="T113" s="45"/>
      <c r="U113" s="45"/>
      <c r="V113" s="45"/>
      <c r="W113" s="45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41" t="s">
        <v>21</v>
      </c>
      <c r="B114" s="41" t="s">
        <v>22</v>
      </c>
      <c r="C114" s="41" t="s">
        <v>23</v>
      </c>
      <c r="D114" s="41" t="s">
        <v>24</v>
      </c>
      <c r="E114" s="41" t="s">
        <v>29</v>
      </c>
      <c r="F114" s="41" t="s">
        <v>25</v>
      </c>
      <c r="G114" s="41" t="s">
        <v>25</v>
      </c>
      <c r="H114" s="41" t="s">
        <v>25</v>
      </c>
      <c r="I114" s="60">
        <v>44652</v>
      </c>
      <c r="J114" s="61">
        <f>EFEITO!$J$114*EFEITO!$Y$74</f>
        <v>0</v>
      </c>
      <c r="K114" s="61">
        <f ca="1">EFEITO!$L$114*EFEITO!$Z$147</f>
        <v>2601.9285897087252</v>
      </c>
      <c r="L114" s="61">
        <f>EFEITO!$N$114*EFEITO!$AA$147</f>
        <v>1432.5563554736741</v>
      </c>
      <c r="M114" s="61">
        <f>$J$114-EFEITO!$K$114*EFEITO!$Y$114</f>
        <v>0</v>
      </c>
      <c r="N114" s="61">
        <f ca="1">$K$114-EFEITO!$M$114*EFEITO!$Z$114</f>
        <v>1691.2535833106713</v>
      </c>
      <c r="O114" s="61">
        <f>$L$114-EFEITO!$O$114*EFEITO!$AA$114</f>
        <v>931.16163105788826</v>
      </c>
      <c r="P114" s="45"/>
      <c r="Q114" s="45"/>
      <c r="R114" s="45"/>
      <c r="S114" s="45"/>
      <c r="T114" s="45"/>
      <c r="U114" s="45"/>
      <c r="V114" s="45"/>
      <c r="W114" s="45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41" t="s">
        <v>21</v>
      </c>
      <c r="B115" s="41" t="s">
        <v>22</v>
      </c>
      <c r="C115" s="41" t="s">
        <v>23</v>
      </c>
      <c r="D115" s="41" t="s">
        <v>24</v>
      </c>
      <c r="E115" s="41" t="s">
        <v>29</v>
      </c>
      <c r="F115" s="41" t="s">
        <v>25</v>
      </c>
      <c r="G115" s="41" t="s">
        <v>25</v>
      </c>
      <c r="H115" s="41" t="s">
        <v>25</v>
      </c>
      <c r="I115" s="60">
        <v>44682</v>
      </c>
      <c r="J115" s="61">
        <f>EFEITO!$J$115*EFEITO!$Y$74</f>
        <v>0</v>
      </c>
      <c r="K115" s="61">
        <f ca="1">EFEITO!$L$115*EFEITO!$Z$147</f>
        <v>2872.5291630384327</v>
      </c>
      <c r="L115" s="61">
        <f>EFEITO!$N$115*EFEITO!$AA$147</f>
        <v>1581.542216442936</v>
      </c>
      <c r="M115" s="61">
        <f>$J$115-EFEITO!$K$115*EFEITO!$Y$115</f>
        <v>0</v>
      </c>
      <c r="N115" s="61">
        <f ca="1">$K$115-EFEITO!$M$115*EFEITO!$Z$115</f>
        <v>1867.1439559749815</v>
      </c>
      <c r="O115" s="61">
        <f>$L$115-EFEITO!$O$115*EFEITO!$AA$115</f>
        <v>1028.0024406879083</v>
      </c>
      <c r="P115" s="45"/>
      <c r="Q115" s="45"/>
      <c r="R115" s="45"/>
      <c r="S115" s="45"/>
      <c r="T115" s="45"/>
      <c r="U115" s="45"/>
      <c r="V115" s="45"/>
      <c r="W115" s="45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41" t="s">
        <v>21</v>
      </c>
      <c r="B116" s="41" t="s">
        <v>22</v>
      </c>
      <c r="C116" s="41" t="s">
        <v>23</v>
      </c>
      <c r="D116" s="41" t="s">
        <v>24</v>
      </c>
      <c r="E116" s="41" t="s">
        <v>29</v>
      </c>
      <c r="F116" s="41" t="s">
        <v>25</v>
      </c>
      <c r="G116" s="41" t="s">
        <v>25</v>
      </c>
      <c r="H116" s="41" t="s">
        <v>25</v>
      </c>
      <c r="I116" s="60">
        <v>44713</v>
      </c>
      <c r="J116" s="61">
        <f>EFEITO!$J$116*EFEITO!$Y$74</f>
        <v>0</v>
      </c>
      <c r="K116" s="61">
        <f ca="1">EFEITO!$L$116*EFEITO!$Z$147</f>
        <v>2705.6588094851131</v>
      </c>
      <c r="L116" s="61">
        <f>EFEITO!$N$116*EFEITO!$AA$147</f>
        <v>1489.6676021785579</v>
      </c>
      <c r="M116" s="61">
        <f>$J$116-EFEITO!$K$116*EFEITO!$Y$116</f>
        <v>0</v>
      </c>
      <c r="N116" s="61">
        <f ca="1">$K$116-EFEITO!$M$116*EFEITO!$Z$116</f>
        <v>1758.6782261653234</v>
      </c>
      <c r="O116" s="61">
        <f>$L$116-EFEITO!$O$116*EFEITO!$AA$116</f>
        <v>968.2839414160627</v>
      </c>
      <c r="P116" s="45"/>
      <c r="Q116" s="45"/>
      <c r="R116" s="45"/>
      <c r="S116" s="45"/>
      <c r="T116" s="45"/>
      <c r="U116" s="45"/>
      <c r="V116" s="45"/>
      <c r="W116" s="45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41" t="s">
        <v>21</v>
      </c>
      <c r="B117" s="41" t="s">
        <v>22</v>
      </c>
      <c r="C117" s="41" t="s">
        <v>23</v>
      </c>
      <c r="D117" s="41" t="s">
        <v>24</v>
      </c>
      <c r="E117" s="41" t="s">
        <v>29</v>
      </c>
      <c r="F117" s="41" t="s">
        <v>25</v>
      </c>
      <c r="G117" s="41" t="s">
        <v>25</v>
      </c>
      <c r="H117" s="41" t="s">
        <v>25</v>
      </c>
      <c r="I117" s="60">
        <v>44743</v>
      </c>
      <c r="J117" s="61">
        <f>EFEITO!$J$117*EFEITO!$Y$74</f>
        <v>0</v>
      </c>
      <c r="K117" s="61">
        <f ca="1">EFEITO!$L$117*EFEITO!$Z$147</f>
        <v>2726.8211620147445</v>
      </c>
      <c r="L117" s="61">
        <f>EFEITO!$N$117*EFEITO!$AA$147</f>
        <v>1501.3190605364105</v>
      </c>
      <c r="M117" s="61">
        <f>$J$117-EFEITO!$K$117*EFEITO!$Y$117</f>
        <v>0</v>
      </c>
      <c r="N117" s="61">
        <f ca="1">$K$117-EFEITO!$M$117*EFEITO!$Z$117</f>
        <v>1772.4337553095841</v>
      </c>
      <c r="O117" s="61">
        <f>$L$117-EFEITO!$O$117*EFEITO!$AA$117</f>
        <v>975.85738934866686</v>
      </c>
      <c r="P117" s="45"/>
      <c r="Q117" s="45"/>
      <c r="R117" s="45"/>
      <c r="S117" s="45"/>
      <c r="T117" s="45"/>
      <c r="U117" s="45"/>
      <c r="V117" s="45"/>
      <c r="W117" s="45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41" t="s">
        <v>55</v>
      </c>
      <c r="B118" s="41" t="s">
        <v>22</v>
      </c>
      <c r="C118" s="41" t="s">
        <v>23</v>
      </c>
      <c r="D118" s="41" t="s">
        <v>24</v>
      </c>
      <c r="E118" s="41" t="s">
        <v>29</v>
      </c>
      <c r="F118" s="41" t="s">
        <v>25</v>
      </c>
      <c r="G118" s="41" t="s">
        <v>25</v>
      </c>
      <c r="H118" s="41" t="s">
        <v>25</v>
      </c>
      <c r="I118" s="60">
        <v>44774</v>
      </c>
      <c r="J118" s="61">
        <f>EFEITO!$J$118*EFEITO!$Y$74</f>
        <v>0</v>
      </c>
      <c r="K118" s="61">
        <f ca="1">EFEITO!$L$118*EFEITO!$Z$147</f>
        <v>2726.8211620147445</v>
      </c>
      <c r="L118" s="61">
        <f>EFEITO!$N$118*EFEITO!$AA$147</f>
        <v>1501.3190605364105</v>
      </c>
      <c r="M118" s="61">
        <f>$J$118-EFEITO!$K$118*EFEITO!$Y$118</f>
        <v>0</v>
      </c>
      <c r="N118" s="61">
        <f ca="1">$K$118-EFEITO!$M$118*EFEITO!$Z$118</f>
        <v>1772.4337553095841</v>
      </c>
      <c r="O118" s="61">
        <f>$L$118-EFEITO!$O$118*EFEITO!$AA$118</f>
        <v>975.85738934866686</v>
      </c>
      <c r="P118" s="45"/>
      <c r="Q118" s="45"/>
      <c r="R118" s="45"/>
      <c r="S118" s="45"/>
      <c r="T118" s="45"/>
      <c r="U118" s="45"/>
      <c r="V118" s="45"/>
      <c r="W118" s="45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41" t="s">
        <v>21</v>
      </c>
      <c r="B119" s="41" t="s">
        <v>22</v>
      </c>
      <c r="C119" s="41" t="s">
        <v>23</v>
      </c>
      <c r="D119" s="41" t="s">
        <v>24</v>
      </c>
      <c r="E119" s="41" t="s">
        <v>30</v>
      </c>
      <c r="F119" s="41" t="s">
        <v>25</v>
      </c>
      <c r="G119" s="41" t="s">
        <v>25</v>
      </c>
      <c r="H119" s="41" t="s">
        <v>25</v>
      </c>
      <c r="I119" s="60">
        <v>44440</v>
      </c>
      <c r="J119" s="61">
        <f>EFEITO!$J$119*EFEITO!$Y$74</f>
        <v>0</v>
      </c>
      <c r="K119" s="61">
        <f ca="1">EFEITO!$L$119*EFEITO!$Z$147</f>
        <v>3516.7666818503135</v>
      </c>
      <c r="L119" s="61">
        <f>EFEITO!$N$119*EFEITO!$AA$147</f>
        <v>1936.2431700582181</v>
      </c>
      <c r="M119" s="61">
        <f>$J$119-EFEITO!$K$119*EFEITO!$Y$119</f>
        <v>0</v>
      </c>
      <c r="N119" s="61">
        <f ca="1">$K$119-EFEITO!$M$119*EFEITO!$Z$119</f>
        <v>1406.7066727401252</v>
      </c>
      <c r="O119" s="61">
        <f>$L$119-EFEITO!$O$119*EFEITO!$AA$119</f>
        <v>774.49726802328723</v>
      </c>
      <c r="P119" s="45"/>
      <c r="Q119" s="45"/>
      <c r="R119" s="45"/>
      <c r="S119" s="45"/>
      <c r="T119" s="45"/>
      <c r="U119" s="45"/>
      <c r="V119" s="45"/>
      <c r="W119" s="45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41" t="s">
        <v>27</v>
      </c>
      <c r="B120" s="41" t="s">
        <v>22</v>
      </c>
      <c r="C120" s="41" t="s">
        <v>23</v>
      </c>
      <c r="D120" s="41" t="s">
        <v>24</v>
      </c>
      <c r="E120" s="41" t="s">
        <v>30</v>
      </c>
      <c r="F120" s="41" t="s">
        <v>25</v>
      </c>
      <c r="G120" s="41" t="s">
        <v>25</v>
      </c>
      <c r="H120" s="41" t="s">
        <v>25</v>
      </c>
      <c r="I120" s="60">
        <v>44440</v>
      </c>
      <c r="J120" s="61">
        <f>EFEITO!$J$120*EFEITO!$Y$74</f>
        <v>0</v>
      </c>
      <c r="K120" s="61">
        <f ca="1">EFEITO!$L$120*EFEITO!$Z$147</f>
        <v>-48.569333674562877</v>
      </c>
      <c r="L120" s="61">
        <f>EFEITO!$N$120*EFEITO!$AA$147</f>
        <v>-26.741051968841919</v>
      </c>
      <c r="M120" s="61">
        <f>$J$120-EFEITO!$K$120*EFEITO!$Y$120</f>
        <v>0</v>
      </c>
      <c r="N120" s="61">
        <f ca="1">$K$120-EFEITO!$M$120*EFEITO!$Z$120</f>
        <v>-19.427733469825149</v>
      </c>
      <c r="O120" s="61">
        <f>$L$120-EFEITO!$O$120*EFEITO!$AA$120</f>
        <v>-10.696420787536766</v>
      </c>
      <c r="P120" s="45"/>
      <c r="Q120" s="45"/>
      <c r="R120" s="45"/>
      <c r="S120" s="45"/>
      <c r="T120" s="45"/>
      <c r="U120" s="45"/>
      <c r="V120" s="45"/>
      <c r="W120" s="45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41" t="s">
        <v>21</v>
      </c>
      <c r="B121" s="41" t="s">
        <v>22</v>
      </c>
      <c r="C121" s="41" t="s">
        <v>23</v>
      </c>
      <c r="D121" s="41" t="s">
        <v>24</v>
      </c>
      <c r="E121" s="41" t="s">
        <v>30</v>
      </c>
      <c r="F121" s="41" t="s">
        <v>25</v>
      </c>
      <c r="G121" s="41" t="s">
        <v>25</v>
      </c>
      <c r="H121" s="41" t="s">
        <v>25</v>
      </c>
      <c r="I121" s="60">
        <v>44470</v>
      </c>
      <c r="J121" s="61">
        <f>EFEITO!$J$121*EFEITO!$Y$74</f>
        <v>0</v>
      </c>
      <c r="K121" s="61">
        <f ca="1">EFEITO!$L$121*EFEITO!$Z$147</f>
        <v>3691.2693592667788</v>
      </c>
      <c r="L121" s="61">
        <f>EFEITO!$N$121*EFEITO!$AA$147</f>
        <v>2032.3199496319858</v>
      </c>
      <c r="M121" s="61">
        <f>$J$121-EFEITO!$K$121*EFEITO!$Y$121</f>
        <v>0</v>
      </c>
      <c r="N121" s="61">
        <f ca="1">$K$121-EFEITO!$M$121*EFEITO!$Z$121</f>
        <v>1476.5077437067116</v>
      </c>
      <c r="O121" s="61">
        <f>$L$121-EFEITO!$O$121*EFEITO!$AA$121</f>
        <v>812.92797985279435</v>
      </c>
      <c r="P121" s="45"/>
      <c r="Q121" s="45"/>
      <c r="R121" s="45"/>
      <c r="S121" s="45"/>
      <c r="T121" s="45"/>
      <c r="U121" s="45"/>
      <c r="V121" s="45"/>
      <c r="W121" s="45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41" t="s">
        <v>21</v>
      </c>
      <c r="B122" s="41" t="s">
        <v>22</v>
      </c>
      <c r="C122" s="41" t="s">
        <v>23</v>
      </c>
      <c r="D122" s="41" t="s">
        <v>24</v>
      </c>
      <c r="E122" s="41" t="s">
        <v>30</v>
      </c>
      <c r="F122" s="41" t="s">
        <v>25</v>
      </c>
      <c r="G122" s="41" t="s">
        <v>25</v>
      </c>
      <c r="H122" s="41" t="s">
        <v>25</v>
      </c>
      <c r="I122" s="60">
        <v>44501</v>
      </c>
      <c r="J122" s="61">
        <f>EFEITO!$J$122*EFEITO!$Y$74</f>
        <v>0</v>
      </c>
      <c r="K122" s="61">
        <f ca="1">EFEITO!$L$122*EFEITO!$Z$147</f>
        <v>3779.3880075049137</v>
      </c>
      <c r="L122" s="61">
        <f>EFEITO!$N$122*EFEITO!$AA$147</f>
        <v>2080.8358582040273</v>
      </c>
      <c r="M122" s="61">
        <f>$J$122-EFEITO!$K$122*EFEITO!$Y$122</f>
        <v>0</v>
      </c>
      <c r="N122" s="61">
        <f ca="1">$K$122-EFEITO!$M$122*EFEITO!$Z$122</f>
        <v>1511.7552030019651</v>
      </c>
      <c r="O122" s="61">
        <f>$L$122-EFEITO!$O$122*EFEITO!$AA$122</f>
        <v>832.33434328161093</v>
      </c>
      <c r="P122" s="45"/>
      <c r="Q122" s="45"/>
      <c r="R122" s="45"/>
      <c r="S122" s="45"/>
      <c r="T122" s="45"/>
      <c r="U122" s="45"/>
      <c r="V122" s="45"/>
      <c r="W122" s="45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41" t="s">
        <v>21</v>
      </c>
      <c r="B123" s="41" t="s">
        <v>22</v>
      </c>
      <c r="C123" s="41" t="s">
        <v>23</v>
      </c>
      <c r="D123" s="41" t="s">
        <v>24</v>
      </c>
      <c r="E123" s="41" t="s">
        <v>30</v>
      </c>
      <c r="F123" s="41" t="s">
        <v>25</v>
      </c>
      <c r="G123" s="41" t="s">
        <v>25</v>
      </c>
      <c r="H123" s="41" t="s">
        <v>25</v>
      </c>
      <c r="I123" s="60">
        <v>44531</v>
      </c>
      <c r="J123" s="61">
        <f>EFEITO!$J$123*EFEITO!$Y$74</f>
        <v>0</v>
      </c>
      <c r="K123" s="61">
        <f ca="1">EFEITO!$L$123*EFEITO!$Z$147</f>
        <v>3825.1819506837874</v>
      </c>
      <c r="L123" s="61">
        <f>EFEITO!$N$123*EFEITO!$AA$147</f>
        <v>2106.0488500603642</v>
      </c>
      <c r="M123" s="61">
        <f>$J$123-EFEITO!$K$123*EFEITO!$Y$123</f>
        <v>0</v>
      </c>
      <c r="N123" s="61">
        <f ca="1">$K$123-EFEITO!$M$123*EFEITO!$Z$123</f>
        <v>1530.072780273515</v>
      </c>
      <c r="O123" s="61">
        <f>$L$123-EFEITO!$O$123*EFEITO!$AA$123</f>
        <v>842.41954002414582</v>
      </c>
      <c r="P123" s="45"/>
      <c r="Q123" s="45"/>
      <c r="R123" s="45"/>
      <c r="S123" s="45"/>
      <c r="T123" s="45"/>
      <c r="U123" s="45"/>
      <c r="V123" s="45"/>
      <c r="W123" s="45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41" t="s">
        <v>21</v>
      </c>
      <c r="B124" s="41" t="s">
        <v>22</v>
      </c>
      <c r="C124" s="41" t="s">
        <v>23</v>
      </c>
      <c r="D124" s="41" t="s">
        <v>24</v>
      </c>
      <c r="E124" s="41" t="s">
        <v>30</v>
      </c>
      <c r="F124" s="41" t="s">
        <v>25</v>
      </c>
      <c r="G124" s="41" t="s">
        <v>25</v>
      </c>
      <c r="H124" s="41" t="s">
        <v>25</v>
      </c>
      <c r="I124" s="60">
        <v>44562</v>
      </c>
      <c r="J124" s="61">
        <f>EFEITO!$J$124*EFEITO!$Y$74</f>
        <v>0</v>
      </c>
      <c r="K124" s="61">
        <f ca="1">EFEITO!$L$124*EFEITO!$Z$147</f>
        <v>4048.2539617748157</v>
      </c>
      <c r="L124" s="61">
        <f>EFEITO!$N$124*EFEITO!$AA$147</f>
        <v>2228.866681602974</v>
      </c>
      <c r="M124" s="61">
        <f>$J$124-EFEITO!$K$124*EFEITO!$Y$124</f>
        <v>0</v>
      </c>
      <c r="N124" s="61">
        <f ca="1">$K$124-EFEITO!$M$124*EFEITO!$Z$124</f>
        <v>1619.3015847099264</v>
      </c>
      <c r="O124" s="61">
        <f>$L$124-EFEITO!$O$124*EFEITO!$AA$124</f>
        <v>891.54667264118984</v>
      </c>
      <c r="P124" s="45"/>
      <c r="Q124" s="45"/>
      <c r="R124" s="45"/>
      <c r="S124" s="45"/>
      <c r="T124" s="45"/>
      <c r="U124" s="45"/>
      <c r="V124" s="45"/>
      <c r="W124" s="45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41" t="s">
        <v>21</v>
      </c>
      <c r="B125" s="41" t="s">
        <v>22</v>
      </c>
      <c r="C125" s="41" t="s">
        <v>23</v>
      </c>
      <c r="D125" s="41" t="s">
        <v>24</v>
      </c>
      <c r="E125" s="41" t="s">
        <v>30</v>
      </c>
      <c r="F125" s="41" t="s">
        <v>25</v>
      </c>
      <c r="G125" s="41" t="s">
        <v>25</v>
      </c>
      <c r="H125" s="41" t="s">
        <v>25</v>
      </c>
      <c r="I125" s="60">
        <v>44593</v>
      </c>
      <c r="J125" s="61">
        <f>EFEITO!$J$125*EFEITO!$Y$74</f>
        <v>0</v>
      </c>
      <c r="K125" s="61">
        <f ca="1">EFEITO!$L$125*EFEITO!$Z$147</f>
        <v>4254.3267060797461</v>
      </c>
      <c r="L125" s="61">
        <f>EFEITO!$N$125*EFEITO!$AA$147</f>
        <v>2342.3251449564887</v>
      </c>
      <c r="M125" s="61">
        <f>$J$125-EFEITO!$K$125*EFEITO!$Y$125</f>
        <v>0</v>
      </c>
      <c r="N125" s="61">
        <f ca="1">$K$125-EFEITO!$M$125*EFEITO!$Z$125</f>
        <v>1701.730682431898</v>
      </c>
      <c r="O125" s="61">
        <f>$L$125-EFEITO!$O$125*EFEITO!$AA$125</f>
        <v>936.93005798259537</v>
      </c>
      <c r="P125" s="45"/>
      <c r="Q125" s="45"/>
      <c r="R125" s="45"/>
      <c r="S125" s="45"/>
      <c r="T125" s="45"/>
      <c r="U125" s="45"/>
      <c r="V125" s="45"/>
      <c r="W125" s="45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41" t="s">
        <v>21</v>
      </c>
      <c r="B126" s="41" t="s">
        <v>22</v>
      </c>
      <c r="C126" s="41" t="s">
        <v>23</v>
      </c>
      <c r="D126" s="41" t="s">
        <v>24</v>
      </c>
      <c r="E126" s="41" t="s">
        <v>30</v>
      </c>
      <c r="F126" s="41" t="s">
        <v>25</v>
      </c>
      <c r="G126" s="41" t="s">
        <v>25</v>
      </c>
      <c r="H126" s="41" t="s">
        <v>25</v>
      </c>
      <c r="I126" s="60">
        <v>44621</v>
      </c>
      <c r="J126" s="61">
        <f>EFEITO!$J$126*EFEITO!$Y$74</f>
        <v>0</v>
      </c>
      <c r="K126" s="61">
        <f ca="1">EFEITO!$L$126*EFEITO!$Z$147</f>
        <v>5097.6984929573346</v>
      </c>
      <c r="L126" s="61">
        <f>EFEITO!$N$126*EFEITO!$AA$147</f>
        <v>2806.6644116440225</v>
      </c>
      <c r="M126" s="61">
        <f>$J$126-EFEITO!$K$126*EFEITO!$Y$126</f>
        <v>0</v>
      </c>
      <c r="N126" s="61">
        <f ca="1">$K$126-EFEITO!$M$126*EFEITO!$Z$126</f>
        <v>2039.0793971829335</v>
      </c>
      <c r="O126" s="61">
        <f>$L$126-EFEITO!$O$126*EFEITO!$AA$126</f>
        <v>1122.6657646576091</v>
      </c>
      <c r="P126" s="45"/>
      <c r="Q126" s="45"/>
      <c r="R126" s="45"/>
      <c r="S126" s="45"/>
      <c r="T126" s="45"/>
      <c r="U126" s="45"/>
      <c r="V126" s="45"/>
      <c r="W126" s="45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41" t="s">
        <v>27</v>
      </c>
      <c r="B127" s="41" t="s">
        <v>22</v>
      </c>
      <c r="C127" s="41" t="s">
        <v>23</v>
      </c>
      <c r="D127" s="41" t="s">
        <v>24</v>
      </c>
      <c r="E127" s="41" t="s">
        <v>30</v>
      </c>
      <c r="F127" s="41" t="s">
        <v>25</v>
      </c>
      <c r="G127" s="41" t="s">
        <v>25</v>
      </c>
      <c r="H127" s="41" t="s">
        <v>25</v>
      </c>
      <c r="I127" s="60">
        <v>44621</v>
      </c>
      <c r="J127" s="61">
        <f>EFEITO!$J$127*EFEITO!$Y$74</f>
        <v>0</v>
      </c>
      <c r="K127" s="61">
        <f ca="1">EFEITO!$L$127*EFEITO!$Z$147</f>
        <v>-1.7346190598058169</v>
      </c>
      <c r="L127" s="61">
        <f>EFEITO!$N$127*EFEITO!$AA$147</f>
        <v>-0.95503757031578274</v>
      </c>
      <c r="M127" s="61">
        <f>$J$127-EFEITO!$K$127*EFEITO!$Y$127</f>
        <v>0</v>
      </c>
      <c r="N127" s="61">
        <f ca="1">$K$127-EFEITO!$M$127*EFEITO!$Z$127</f>
        <v>-0.69384762392232679</v>
      </c>
      <c r="O127" s="61">
        <f>$L$127-EFEITO!$O$127*EFEITO!$AA$127</f>
        <v>-0.38201502812631305</v>
      </c>
      <c r="P127" s="45"/>
      <c r="Q127" s="45"/>
      <c r="R127" s="45"/>
      <c r="S127" s="45"/>
      <c r="T127" s="45"/>
      <c r="U127" s="45"/>
      <c r="V127" s="45"/>
      <c r="W127" s="45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41" t="s">
        <v>21</v>
      </c>
      <c r="B128" s="41" t="s">
        <v>22</v>
      </c>
      <c r="C128" s="41" t="s">
        <v>23</v>
      </c>
      <c r="D128" s="41" t="s">
        <v>24</v>
      </c>
      <c r="E128" s="41" t="s">
        <v>30</v>
      </c>
      <c r="F128" s="41" t="s">
        <v>25</v>
      </c>
      <c r="G128" s="41" t="s">
        <v>25</v>
      </c>
      <c r="H128" s="41" t="s">
        <v>25</v>
      </c>
      <c r="I128" s="60">
        <v>44652</v>
      </c>
      <c r="J128" s="61">
        <f>EFEITO!$J$128*EFEITO!$Y$74</f>
        <v>0</v>
      </c>
      <c r="K128" s="61">
        <f ca="1">EFEITO!$L$128*EFEITO!$Z$147</f>
        <v>5354.7690376205574</v>
      </c>
      <c r="L128" s="61">
        <f>EFEITO!$N$128*EFEITO!$AA$147</f>
        <v>2948.2009795648214</v>
      </c>
      <c r="M128" s="61">
        <f>$J$128-EFEITO!$K$128*EFEITO!$Y$128</f>
        <v>0</v>
      </c>
      <c r="N128" s="61">
        <f ca="1">$K$128-EFEITO!$M$128*EFEITO!$Z$128</f>
        <v>2141.9076150482233</v>
      </c>
      <c r="O128" s="61">
        <f>$L$128-EFEITO!$O$128*EFEITO!$AA$128</f>
        <v>1179.2803918259285</v>
      </c>
      <c r="P128" s="45"/>
      <c r="Q128" s="45"/>
      <c r="R128" s="45"/>
      <c r="S128" s="45"/>
      <c r="T128" s="45"/>
      <c r="U128" s="45"/>
      <c r="V128" s="45"/>
      <c r="W128" s="45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41" t="s">
        <v>21</v>
      </c>
      <c r="B129" s="41" t="s">
        <v>22</v>
      </c>
      <c r="C129" s="41" t="s">
        <v>23</v>
      </c>
      <c r="D129" s="41" t="s">
        <v>24</v>
      </c>
      <c r="E129" s="41" t="s">
        <v>30</v>
      </c>
      <c r="F129" s="41" t="s">
        <v>25</v>
      </c>
      <c r="G129" s="41" t="s">
        <v>25</v>
      </c>
      <c r="H129" s="41" t="s">
        <v>25</v>
      </c>
      <c r="I129" s="60">
        <v>44682</v>
      </c>
      <c r="J129" s="61">
        <f>EFEITO!$J$129*EFEITO!$Y$74</f>
        <v>0</v>
      </c>
      <c r="K129" s="61">
        <f ca="1">EFEITO!$L$129*EFEITO!$Z$147</f>
        <v>5685.387430419546</v>
      </c>
      <c r="L129" s="61">
        <f>EFEITO!$N$129*EFEITO!$AA$147</f>
        <v>3130.2311404670099</v>
      </c>
      <c r="M129" s="61">
        <f>$J$129-EFEITO!$K$129*EFEITO!$Y$129</f>
        <v>0</v>
      </c>
      <c r="N129" s="61">
        <f ca="1">$K$129-EFEITO!$M$129*EFEITO!$Z$129</f>
        <v>2274.1549721678184</v>
      </c>
      <c r="O129" s="61">
        <f>$L$129-EFEITO!$O$129*EFEITO!$AA$129</f>
        <v>1252.0924561868042</v>
      </c>
      <c r="P129" s="45"/>
      <c r="Q129" s="45"/>
      <c r="R129" s="45"/>
      <c r="S129" s="45"/>
      <c r="T129" s="45"/>
      <c r="U129" s="45"/>
      <c r="V129" s="45"/>
      <c r="W129" s="45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41" t="s">
        <v>21</v>
      </c>
      <c r="B130" s="41" t="s">
        <v>22</v>
      </c>
      <c r="C130" s="41" t="s">
        <v>23</v>
      </c>
      <c r="D130" s="41" t="s">
        <v>24</v>
      </c>
      <c r="E130" s="41" t="s">
        <v>30</v>
      </c>
      <c r="F130" s="41" t="s">
        <v>25</v>
      </c>
      <c r="G130" s="41" t="s">
        <v>25</v>
      </c>
      <c r="H130" s="41" t="s">
        <v>25</v>
      </c>
      <c r="I130" s="60">
        <v>44713</v>
      </c>
      <c r="J130" s="61">
        <f>EFEITO!$J$130*EFEITO!$Y$74</f>
        <v>0</v>
      </c>
      <c r="K130" s="61">
        <f ca="1">EFEITO!$L$130*EFEITO!$Z$147</f>
        <v>5363.4421329195866</v>
      </c>
      <c r="L130" s="61">
        <f>EFEITO!$N$130*EFEITO!$AA$147</f>
        <v>2952.9761674164006</v>
      </c>
      <c r="M130" s="61">
        <f>$J$130-EFEITO!$K$130*EFEITO!$Y$130</f>
        <v>0</v>
      </c>
      <c r="N130" s="61">
        <f ca="1">$K$130-EFEITO!$M$130*EFEITO!$Z$130</f>
        <v>2145.3768531678347</v>
      </c>
      <c r="O130" s="61">
        <f>$L$130-EFEITO!$O$130*EFEITO!$AA$130</f>
        <v>1181.1904669665603</v>
      </c>
      <c r="P130" s="45"/>
      <c r="Q130" s="45"/>
      <c r="R130" s="45"/>
      <c r="S130" s="45"/>
      <c r="T130" s="45"/>
      <c r="U130" s="45"/>
      <c r="V130" s="45"/>
      <c r="W130" s="45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41" t="s">
        <v>21</v>
      </c>
      <c r="B131" s="41" t="s">
        <v>22</v>
      </c>
      <c r="C131" s="41" t="s">
        <v>23</v>
      </c>
      <c r="D131" s="41" t="s">
        <v>24</v>
      </c>
      <c r="E131" s="41" t="s">
        <v>30</v>
      </c>
      <c r="F131" s="41" t="s">
        <v>25</v>
      </c>
      <c r="G131" s="41" t="s">
        <v>25</v>
      </c>
      <c r="H131" s="41" t="s">
        <v>25</v>
      </c>
      <c r="I131" s="60">
        <v>44743</v>
      </c>
      <c r="J131" s="61">
        <f>EFEITO!$J$131*EFEITO!$Y$74</f>
        <v>0</v>
      </c>
      <c r="K131" s="61">
        <f ca="1">EFEITO!$L$131*EFEITO!$Z$147</f>
        <v>5448.0915430381101</v>
      </c>
      <c r="L131" s="61">
        <f>EFEITO!$N$131*EFEITO!$AA$147</f>
        <v>2999.5820008478104</v>
      </c>
      <c r="M131" s="61">
        <f>$J$131-EFEITO!$K$131*EFEITO!$Y$131</f>
        <v>0</v>
      </c>
      <c r="N131" s="61">
        <f ca="1">$K$131-EFEITO!$M$131*EFEITO!$Z$131</f>
        <v>2179.2366172152442</v>
      </c>
      <c r="O131" s="61">
        <f>$L$131-EFEITO!$O$131*EFEITO!$AA$131</f>
        <v>1199.8328003391241</v>
      </c>
      <c r="P131" s="45"/>
      <c r="Q131" s="45"/>
      <c r="R131" s="45"/>
      <c r="S131" s="45"/>
      <c r="T131" s="45"/>
      <c r="U131" s="45"/>
      <c r="V131" s="45"/>
      <c r="W131" s="45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41" t="s">
        <v>55</v>
      </c>
      <c r="B132" s="41" t="s">
        <v>22</v>
      </c>
      <c r="C132" s="41" t="s">
        <v>23</v>
      </c>
      <c r="D132" s="41" t="s">
        <v>24</v>
      </c>
      <c r="E132" s="41" t="s">
        <v>30</v>
      </c>
      <c r="F132" s="41" t="s">
        <v>25</v>
      </c>
      <c r="G132" s="41" t="s">
        <v>25</v>
      </c>
      <c r="H132" s="41" t="s">
        <v>25</v>
      </c>
      <c r="I132" s="60">
        <v>44774</v>
      </c>
      <c r="J132" s="61">
        <f>EFEITO!$J$132*EFEITO!$Y$74</f>
        <v>0</v>
      </c>
      <c r="K132" s="61">
        <f ca="1">EFEITO!$L$132*EFEITO!$Z$147</f>
        <v>5448.0915430381101</v>
      </c>
      <c r="L132" s="61">
        <f>EFEITO!$N$132*EFEITO!$AA$147</f>
        <v>2999.5820008478104</v>
      </c>
      <c r="M132" s="61">
        <f>$J$132-EFEITO!$K$132*EFEITO!$Y$132</f>
        <v>0</v>
      </c>
      <c r="N132" s="61">
        <f ca="1">$K$132-EFEITO!$M$132*EFEITO!$Z$132</f>
        <v>2179.2366172152442</v>
      </c>
      <c r="O132" s="61">
        <f>$L$132-EFEITO!$O$132*EFEITO!$AA$132</f>
        <v>1199.8328003391241</v>
      </c>
      <c r="P132" s="45"/>
      <c r="Q132" s="45"/>
      <c r="R132" s="45"/>
      <c r="S132" s="45"/>
      <c r="T132" s="45"/>
      <c r="U132" s="45"/>
      <c r="V132" s="45"/>
      <c r="W132" s="45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41" t="s">
        <v>21</v>
      </c>
      <c r="B133" s="41" t="s">
        <v>22</v>
      </c>
      <c r="C133" s="41" t="s">
        <v>23</v>
      </c>
      <c r="D133" s="41" t="s">
        <v>24</v>
      </c>
      <c r="E133" s="41" t="s">
        <v>31</v>
      </c>
      <c r="F133" s="41" t="s">
        <v>25</v>
      </c>
      <c r="G133" s="41" t="s">
        <v>25</v>
      </c>
      <c r="H133" s="41" t="s">
        <v>25</v>
      </c>
      <c r="I133" s="60">
        <v>44440</v>
      </c>
      <c r="J133" s="61">
        <f>EFEITO!$J$133*EFEITO!$Y$74</f>
        <v>0</v>
      </c>
      <c r="K133" s="61">
        <f ca="1">EFEITO!$L$133*EFEITO!$Z$147</f>
        <v>3004.3602115836748</v>
      </c>
      <c r="L133" s="61">
        <f>EFEITO!$N$133*EFEITO!$AA$147</f>
        <v>1654.1250717869357</v>
      </c>
      <c r="M133" s="61">
        <f>$J$133-EFEITO!$K$133*EFEITO!$Y$133</f>
        <v>0</v>
      </c>
      <c r="N133" s="61">
        <f ca="1">$K$133-EFEITO!$M$133*EFEITO!$Z$133</f>
        <v>300.43602115836757</v>
      </c>
      <c r="O133" s="61">
        <f>$L$133-EFEITO!$O$133*EFEITO!$AA$133</f>
        <v>165.41250717869343</v>
      </c>
      <c r="P133" s="45"/>
      <c r="Q133" s="45"/>
      <c r="R133" s="45"/>
      <c r="S133" s="45"/>
      <c r="T133" s="45"/>
      <c r="U133" s="45"/>
      <c r="V133" s="45"/>
      <c r="W133" s="45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41" t="s">
        <v>27</v>
      </c>
      <c r="B134" s="41" t="s">
        <v>22</v>
      </c>
      <c r="C134" s="41" t="s">
        <v>23</v>
      </c>
      <c r="D134" s="41" t="s">
        <v>24</v>
      </c>
      <c r="E134" s="41" t="s">
        <v>31</v>
      </c>
      <c r="F134" s="41" t="s">
        <v>25</v>
      </c>
      <c r="G134" s="41" t="s">
        <v>25</v>
      </c>
      <c r="H134" s="41" t="s">
        <v>25</v>
      </c>
      <c r="I134" s="60">
        <v>44440</v>
      </c>
      <c r="J134" s="61">
        <f>EFEITO!$J$134*EFEITO!$Y$74</f>
        <v>0</v>
      </c>
      <c r="K134" s="61">
        <f ca="1">EFEITO!$L$134*EFEITO!$Z$147</f>
        <v>-78.404781503222921</v>
      </c>
      <c r="L134" s="61">
        <f>EFEITO!$N$134*EFEITO!$AA$147</f>
        <v>-43.167698178273383</v>
      </c>
      <c r="M134" s="61">
        <f>$J$134-EFEITO!$K$134*EFEITO!$Y$134</f>
        <v>0</v>
      </c>
      <c r="N134" s="61">
        <f ca="1">$K$134-EFEITO!$M$134*EFEITO!$Z$134</f>
        <v>-7.8404781503222836</v>
      </c>
      <c r="O134" s="61">
        <f>$L$134-EFEITO!$O$134*EFEITO!$AA$134</f>
        <v>-4.3167698178273426</v>
      </c>
      <c r="P134" s="45"/>
      <c r="Q134" s="45"/>
      <c r="R134" s="45"/>
      <c r="S134" s="45"/>
      <c r="T134" s="45"/>
      <c r="U134" s="45"/>
      <c r="V134" s="45"/>
      <c r="W134" s="45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41" t="s">
        <v>21</v>
      </c>
      <c r="B135" s="41" t="s">
        <v>22</v>
      </c>
      <c r="C135" s="41" t="s">
        <v>23</v>
      </c>
      <c r="D135" s="41" t="s">
        <v>24</v>
      </c>
      <c r="E135" s="41" t="s">
        <v>31</v>
      </c>
      <c r="F135" s="41" t="s">
        <v>25</v>
      </c>
      <c r="G135" s="41" t="s">
        <v>25</v>
      </c>
      <c r="H135" s="41" t="s">
        <v>25</v>
      </c>
      <c r="I135" s="60">
        <v>44470</v>
      </c>
      <c r="J135" s="61">
        <f>EFEITO!$J$135*EFEITO!$Y$74</f>
        <v>0</v>
      </c>
      <c r="K135" s="61">
        <f ca="1">EFEITO!$L$135*EFEITO!$Z$147</f>
        <v>3414.4241573217701</v>
      </c>
      <c r="L135" s="61">
        <f>EFEITO!$N$135*EFEITO!$AA$147</f>
        <v>1879.8959534095868</v>
      </c>
      <c r="M135" s="61">
        <f>$J$135-EFEITO!$K$135*EFEITO!$Y$135</f>
        <v>0</v>
      </c>
      <c r="N135" s="61">
        <f ca="1">$K$135-EFEITO!$M$135*EFEITO!$Z$135</f>
        <v>341.44241573217687</v>
      </c>
      <c r="O135" s="61">
        <f>$L$135-EFEITO!$O$135*EFEITO!$AA$135</f>
        <v>187.98959534095866</v>
      </c>
      <c r="P135" s="45"/>
      <c r="Q135" s="45"/>
      <c r="R135" s="45"/>
      <c r="S135" s="45"/>
      <c r="T135" s="45"/>
      <c r="U135" s="45"/>
      <c r="V135" s="45"/>
      <c r="W135" s="45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41" t="s">
        <v>21</v>
      </c>
      <c r="B136" s="41" t="s">
        <v>22</v>
      </c>
      <c r="C136" s="41" t="s">
        <v>23</v>
      </c>
      <c r="D136" s="41" t="s">
        <v>24</v>
      </c>
      <c r="E136" s="41" t="s">
        <v>31</v>
      </c>
      <c r="F136" s="41" t="s">
        <v>25</v>
      </c>
      <c r="G136" s="41" t="s">
        <v>25</v>
      </c>
      <c r="H136" s="41" t="s">
        <v>25</v>
      </c>
      <c r="I136" s="60">
        <v>44501</v>
      </c>
      <c r="J136" s="61">
        <f>EFEITO!$J$136*EFEITO!$Y$74</f>
        <v>0</v>
      </c>
      <c r="K136" s="61">
        <f ca="1">EFEITO!$L$136*EFEITO!$Z$147</f>
        <v>3389.7925666725278</v>
      </c>
      <c r="L136" s="61">
        <f>EFEITO!$N$136*EFEITO!$AA$147</f>
        <v>1866.3344199111027</v>
      </c>
      <c r="M136" s="61">
        <f>$J$136-EFEITO!$K$136*EFEITO!$Y$136</f>
        <v>0</v>
      </c>
      <c r="N136" s="61">
        <f ca="1">$K$136-EFEITO!$M$136*EFEITO!$Z$136</f>
        <v>338.97925666725268</v>
      </c>
      <c r="O136" s="61">
        <f>$L$136-EFEITO!$O$136*EFEITO!$AA$136</f>
        <v>186.6334419911102</v>
      </c>
      <c r="P136" s="45"/>
      <c r="Q136" s="45"/>
      <c r="R136" s="45"/>
      <c r="S136" s="45"/>
      <c r="T136" s="45"/>
      <c r="U136" s="45"/>
      <c r="V136" s="45"/>
      <c r="W136" s="45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41" t="s">
        <v>21</v>
      </c>
      <c r="B137" s="41" t="s">
        <v>22</v>
      </c>
      <c r="C137" s="41" t="s">
        <v>23</v>
      </c>
      <c r="D137" s="41" t="s">
        <v>24</v>
      </c>
      <c r="E137" s="41" t="s">
        <v>31</v>
      </c>
      <c r="F137" s="41" t="s">
        <v>25</v>
      </c>
      <c r="G137" s="41" t="s">
        <v>25</v>
      </c>
      <c r="H137" s="41" t="s">
        <v>25</v>
      </c>
      <c r="I137" s="60">
        <v>44531</v>
      </c>
      <c r="J137" s="61">
        <f>EFEITO!$J$137*EFEITO!$Y$74</f>
        <v>0</v>
      </c>
      <c r="K137" s="61">
        <f ca="1">EFEITO!$L$137*EFEITO!$Z$147</f>
        <v>3538.9698058158278</v>
      </c>
      <c r="L137" s="61">
        <f>EFEITO!$N$137*EFEITO!$AA$147</f>
        <v>1948.46765095826</v>
      </c>
      <c r="M137" s="61">
        <f>$J$137-EFEITO!$K$137*EFEITO!$Y$137</f>
        <v>0</v>
      </c>
      <c r="N137" s="61">
        <f ca="1">$K$137-EFEITO!$M$137*EFEITO!$Z$137</f>
        <v>353.89698058158274</v>
      </c>
      <c r="O137" s="61">
        <f>$L$137-EFEITO!$O$137*EFEITO!$AA$137</f>
        <v>194.84676509582596</v>
      </c>
      <c r="P137" s="45"/>
      <c r="Q137" s="45"/>
      <c r="R137" s="45"/>
      <c r="S137" s="45"/>
      <c r="T137" s="45"/>
      <c r="U137" s="45"/>
      <c r="V137" s="45"/>
      <c r="W137" s="45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41" t="s">
        <v>21</v>
      </c>
      <c r="B138" s="41" t="s">
        <v>22</v>
      </c>
      <c r="C138" s="41" t="s">
        <v>23</v>
      </c>
      <c r="D138" s="41" t="s">
        <v>24</v>
      </c>
      <c r="E138" s="41" t="s">
        <v>31</v>
      </c>
      <c r="F138" s="41" t="s">
        <v>25</v>
      </c>
      <c r="G138" s="41" t="s">
        <v>25</v>
      </c>
      <c r="H138" s="41" t="s">
        <v>25</v>
      </c>
      <c r="I138" s="60">
        <v>44562</v>
      </c>
      <c r="J138" s="61">
        <f>EFEITO!$J$138*EFEITO!$Y$74</f>
        <v>0</v>
      </c>
      <c r="K138" s="61">
        <f ca="1">EFEITO!$L$138*EFEITO!$Z$147</f>
        <v>3994.4807709208349</v>
      </c>
      <c r="L138" s="61">
        <f>EFEITO!$N$138*EFEITO!$AA$147</f>
        <v>2199.2605169231842</v>
      </c>
      <c r="M138" s="61">
        <f>$J$138-EFEITO!$K$138*EFEITO!$Y$138</f>
        <v>0</v>
      </c>
      <c r="N138" s="61">
        <f ca="1">$K$138-EFEITO!$M$138*EFEITO!$Z$138</f>
        <v>399.44807709208362</v>
      </c>
      <c r="O138" s="61">
        <f>$L$138-EFEITO!$O$138*EFEITO!$AA$138</f>
        <v>219.9260516923182</v>
      </c>
      <c r="P138" s="45"/>
      <c r="Q138" s="45"/>
      <c r="R138" s="45"/>
      <c r="S138" s="45"/>
      <c r="T138" s="45"/>
      <c r="U138" s="45"/>
      <c r="V138" s="45"/>
      <c r="W138" s="45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41" t="s">
        <v>21</v>
      </c>
      <c r="B139" s="41" t="s">
        <v>22</v>
      </c>
      <c r="C139" s="41" t="s">
        <v>23</v>
      </c>
      <c r="D139" s="41" t="s">
        <v>24</v>
      </c>
      <c r="E139" s="41" t="s">
        <v>31</v>
      </c>
      <c r="F139" s="41" t="s">
        <v>25</v>
      </c>
      <c r="G139" s="41" t="s">
        <v>25</v>
      </c>
      <c r="H139" s="41" t="s">
        <v>25</v>
      </c>
      <c r="I139" s="60">
        <v>44593</v>
      </c>
      <c r="J139" s="61">
        <f>EFEITO!$J$139*EFEITO!$Y$74</f>
        <v>0</v>
      </c>
      <c r="K139" s="61">
        <f ca="1">EFEITO!$L$139*EFEITO!$Z$147</f>
        <v>4957.1943491130633</v>
      </c>
      <c r="L139" s="61">
        <f>EFEITO!$N$139*EFEITO!$AA$147</f>
        <v>2729.3063684484437</v>
      </c>
      <c r="M139" s="61">
        <f>$J$139-EFEITO!$K$139*EFEITO!$Y$139</f>
        <v>0</v>
      </c>
      <c r="N139" s="61">
        <f ca="1">$K$139-EFEITO!$M$139*EFEITO!$Z$139</f>
        <v>495.71943491130605</v>
      </c>
      <c r="O139" s="61">
        <f>$L$139-EFEITO!$O$139*EFEITO!$AA$139</f>
        <v>272.93063684484423</v>
      </c>
      <c r="P139" s="45"/>
      <c r="Q139" s="45"/>
      <c r="R139" s="45"/>
      <c r="S139" s="45"/>
      <c r="T139" s="45"/>
      <c r="U139" s="45"/>
      <c r="V139" s="45"/>
      <c r="W139" s="45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41" t="s">
        <v>21</v>
      </c>
      <c r="B140" s="41" t="s">
        <v>22</v>
      </c>
      <c r="C140" s="41" t="s">
        <v>23</v>
      </c>
      <c r="D140" s="41" t="s">
        <v>24</v>
      </c>
      <c r="E140" s="41" t="s">
        <v>31</v>
      </c>
      <c r="F140" s="41" t="s">
        <v>25</v>
      </c>
      <c r="G140" s="41" t="s">
        <v>25</v>
      </c>
      <c r="H140" s="41" t="s">
        <v>25</v>
      </c>
      <c r="I140" s="60">
        <v>44621</v>
      </c>
      <c r="J140" s="61">
        <f>EFEITO!$J$140*EFEITO!$Y$74</f>
        <v>0</v>
      </c>
      <c r="K140" s="61">
        <f ca="1">EFEITO!$L$140*EFEITO!$Z$147</f>
        <v>4933.2566060877434</v>
      </c>
      <c r="L140" s="61">
        <f>EFEITO!$N$140*EFEITO!$AA$147</f>
        <v>2716.1268499780863</v>
      </c>
      <c r="M140" s="61">
        <f>$J$140-EFEITO!$K$140*EFEITO!$Y$140</f>
        <v>0</v>
      </c>
      <c r="N140" s="61">
        <f ca="1">$K$140-EFEITO!$M$140*EFEITO!$Z$140</f>
        <v>493.32566060877434</v>
      </c>
      <c r="O140" s="61">
        <f>$L$140-EFEITO!$O$140*EFEITO!$AA$140</f>
        <v>271.61268499780863</v>
      </c>
      <c r="P140" s="45"/>
      <c r="Q140" s="45"/>
      <c r="R140" s="45"/>
      <c r="S140" s="45"/>
      <c r="T140" s="45"/>
      <c r="U140" s="45"/>
      <c r="V140" s="45"/>
      <c r="W140" s="45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41" t="s">
        <v>27</v>
      </c>
      <c r="B141" s="41" t="s">
        <v>22</v>
      </c>
      <c r="C141" s="41" t="s">
        <v>23</v>
      </c>
      <c r="D141" s="41" t="s">
        <v>24</v>
      </c>
      <c r="E141" s="41" t="s">
        <v>31</v>
      </c>
      <c r="F141" s="41" t="s">
        <v>25</v>
      </c>
      <c r="G141" s="41" t="s">
        <v>25</v>
      </c>
      <c r="H141" s="41" t="s">
        <v>25</v>
      </c>
      <c r="I141" s="60">
        <v>44621</v>
      </c>
      <c r="J141" s="61">
        <f>EFEITO!$J$141*EFEITO!$Y$74</f>
        <v>0</v>
      </c>
      <c r="K141" s="61">
        <f ca="1">EFEITO!$L$141*EFEITO!$Z$147</f>
        <v>-50.303952734368686</v>
      </c>
      <c r="L141" s="61">
        <f>EFEITO!$N$141*EFEITO!$AA$147</f>
        <v>-27.696089539157697</v>
      </c>
      <c r="M141" s="61">
        <f>$J$141-EFEITO!$K$141*EFEITO!$Y$141</f>
        <v>0</v>
      </c>
      <c r="N141" s="61">
        <f ca="1">$K$141-EFEITO!$M$141*EFEITO!$Z$141</f>
        <v>-5.0303952734368664</v>
      </c>
      <c r="O141" s="61">
        <f>$L$141-EFEITO!$O$141*EFEITO!$AA$141</f>
        <v>-2.7696089539157676</v>
      </c>
      <c r="P141" s="45"/>
      <c r="Q141" s="45"/>
      <c r="R141" s="45"/>
      <c r="S141" s="45"/>
      <c r="T141" s="45"/>
      <c r="U141" s="45"/>
      <c r="V141" s="45"/>
      <c r="W141" s="45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41" t="s">
        <v>21</v>
      </c>
      <c r="B142" s="41" t="s">
        <v>22</v>
      </c>
      <c r="C142" s="41" t="s">
        <v>23</v>
      </c>
      <c r="D142" s="41" t="s">
        <v>24</v>
      </c>
      <c r="E142" s="41" t="s">
        <v>31</v>
      </c>
      <c r="F142" s="41" t="s">
        <v>25</v>
      </c>
      <c r="G142" s="41" t="s">
        <v>25</v>
      </c>
      <c r="H142" s="41" t="s">
        <v>25</v>
      </c>
      <c r="I142" s="60">
        <v>44652</v>
      </c>
      <c r="J142" s="61">
        <f>EFEITO!$J$142*EFEITO!$Y$74</f>
        <v>0</v>
      </c>
      <c r="K142" s="61">
        <f ca="1">EFEITO!$L$142*EFEITO!$Z$147</f>
        <v>5026.2321876933347</v>
      </c>
      <c r="L142" s="61">
        <f>EFEITO!$N$142*EFEITO!$AA$147</f>
        <v>2767.3168637470121</v>
      </c>
      <c r="M142" s="61">
        <f>$J$142-EFEITO!$K$142*EFEITO!$Y$142</f>
        <v>0</v>
      </c>
      <c r="N142" s="61">
        <f ca="1">$K$142-EFEITO!$M$142*EFEITO!$Z$142</f>
        <v>502.62321876933311</v>
      </c>
      <c r="O142" s="61">
        <f>$L$142-EFEITO!$O$142*EFEITO!$AA$142</f>
        <v>276.73168637470144</v>
      </c>
      <c r="P142" s="45"/>
      <c r="Q142" s="45"/>
      <c r="R142" s="45"/>
      <c r="S142" s="45"/>
      <c r="T142" s="45"/>
      <c r="U142" s="45"/>
      <c r="V142" s="45"/>
      <c r="W142" s="45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41" t="s">
        <v>21</v>
      </c>
      <c r="B143" s="41" t="s">
        <v>22</v>
      </c>
      <c r="C143" s="41" t="s">
        <v>23</v>
      </c>
      <c r="D143" s="41" t="s">
        <v>24</v>
      </c>
      <c r="E143" s="41" t="s">
        <v>31</v>
      </c>
      <c r="F143" s="41" t="s">
        <v>25</v>
      </c>
      <c r="G143" s="41" t="s">
        <v>25</v>
      </c>
      <c r="H143" s="41" t="s">
        <v>25</v>
      </c>
      <c r="I143" s="60">
        <v>44682</v>
      </c>
      <c r="J143" s="61">
        <f>EFEITO!$J$143*EFEITO!$Y$74</f>
        <v>0</v>
      </c>
      <c r="K143" s="61">
        <f ca="1">EFEITO!$L$143*EFEITO!$Z$147</f>
        <v>4468.3786980597843</v>
      </c>
      <c r="L143" s="61">
        <f>EFEITO!$N$143*EFEITO!$AA$147</f>
        <v>2460.1767811334566</v>
      </c>
      <c r="M143" s="61">
        <f>$J$143-EFEITO!$K$143*EFEITO!$Y$143</f>
        <v>0</v>
      </c>
      <c r="N143" s="61">
        <f ca="1">$K$143-EFEITO!$M$143*EFEITO!$Z$143</f>
        <v>446.83786980597824</v>
      </c>
      <c r="O143" s="61">
        <f>$L$143-EFEITO!$O$143*EFEITO!$AA$143</f>
        <v>246.01767811334594</v>
      </c>
      <c r="P143" s="45"/>
      <c r="Q143" s="45"/>
      <c r="R143" s="45"/>
      <c r="S143" s="45"/>
      <c r="T143" s="45"/>
      <c r="U143" s="45"/>
      <c r="V143" s="45"/>
      <c r="W143" s="45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41" t="s">
        <v>21</v>
      </c>
      <c r="B144" s="41" t="s">
        <v>22</v>
      </c>
      <c r="C144" s="41" t="s">
        <v>23</v>
      </c>
      <c r="D144" s="41" t="s">
        <v>24</v>
      </c>
      <c r="E144" s="41" t="s">
        <v>31</v>
      </c>
      <c r="F144" s="41" t="s">
        <v>25</v>
      </c>
      <c r="G144" s="41" t="s">
        <v>25</v>
      </c>
      <c r="H144" s="41" t="s">
        <v>25</v>
      </c>
      <c r="I144" s="60">
        <v>44713</v>
      </c>
      <c r="J144" s="61">
        <f>EFEITO!$J$144*EFEITO!$Y$74</f>
        <v>0</v>
      </c>
      <c r="K144" s="61">
        <f ca="1">EFEITO!$L$144*EFEITO!$Z$147</f>
        <v>5068.9038165645579</v>
      </c>
      <c r="L144" s="61">
        <f>EFEITO!$N$144*EFEITO!$AA$147</f>
        <v>2790.8107879767804</v>
      </c>
      <c r="M144" s="61">
        <f>$J$144-EFEITO!$K$144*EFEITO!$Y$144</f>
        <v>0</v>
      </c>
      <c r="N144" s="61">
        <f ca="1">$K$144-EFEITO!$M$144*EFEITO!$Z$144</f>
        <v>506.89038165645525</v>
      </c>
      <c r="O144" s="61">
        <f>$L$144-EFEITO!$O$144*EFEITO!$AA$144</f>
        <v>279.08107879767795</v>
      </c>
      <c r="P144" s="45"/>
      <c r="Q144" s="45"/>
      <c r="R144" s="45"/>
      <c r="S144" s="45"/>
      <c r="T144" s="45"/>
      <c r="U144" s="45"/>
      <c r="V144" s="45"/>
      <c r="W144" s="45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41" t="s">
        <v>21</v>
      </c>
      <c r="B145" s="41" t="s">
        <v>22</v>
      </c>
      <c r="C145" s="41" t="s">
        <v>23</v>
      </c>
      <c r="D145" s="41" t="s">
        <v>24</v>
      </c>
      <c r="E145" s="41" t="s">
        <v>31</v>
      </c>
      <c r="F145" s="41" t="s">
        <v>25</v>
      </c>
      <c r="G145" s="41" t="s">
        <v>25</v>
      </c>
      <c r="H145" s="41" t="s">
        <v>25</v>
      </c>
      <c r="I145" s="60">
        <v>44743</v>
      </c>
      <c r="J145" s="61">
        <f>EFEITO!$J$145*EFEITO!$Y$74</f>
        <v>0</v>
      </c>
      <c r="K145" s="61">
        <f ca="1">EFEITO!$L$145*EFEITO!$Z$147</f>
        <v>5175.0625030246738</v>
      </c>
      <c r="L145" s="61">
        <f>EFEITO!$N$145*EFEITO!$AA$147</f>
        <v>2849.2590872801061</v>
      </c>
      <c r="M145" s="61">
        <f>$J$145-EFEITO!$K$145*EFEITO!$Y$145</f>
        <v>0</v>
      </c>
      <c r="N145" s="61">
        <f ca="1">$K$145-EFEITO!$M$145*EFEITO!$Z$145</f>
        <v>517.50625030246738</v>
      </c>
      <c r="O145" s="61">
        <f>$L$145-EFEITO!$O$145*EFEITO!$AA$145</f>
        <v>284.92590872801065</v>
      </c>
      <c r="P145" s="45"/>
      <c r="Q145" s="45"/>
      <c r="R145" s="45"/>
      <c r="S145" s="45"/>
      <c r="T145" s="45"/>
      <c r="U145" s="45"/>
      <c r="V145" s="45"/>
      <c r="W145" s="45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41" t="s">
        <v>55</v>
      </c>
      <c r="B146" s="41" t="s">
        <v>22</v>
      </c>
      <c r="C146" s="41" t="s">
        <v>23</v>
      </c>
      <c r="D146" s="41" t="s">
        <v>24</v>
      </c>
      <c r="E146" s="41" t="s">
        <v>31</v>
      </c>
      <c r="F146" s="41" t="s">
        <v>25</v>
      </c>
      <c r="G146" s="41" t="s">
        <v>25</v>
      </c>
      <c r="H146" s="41" t="s">
        <v>25</v>
      </c>
      <c r="I146" s="60">
        <v>44774</v>
      </c>
      <c r="J146" s="61">
        <f>EFEITO!$J$146*EFEITO!$Y$74</f>
        <v>0</v>
      </c>
      <c r="K146" s="61">
        <f ca="1">EFEITO!$L$146*EFEITO!$Z$147</f>
        <v>5175.0625030246738</v>
      </c>
      <c r="L146" s="61">
        <f>EFEITO!$N$146*EFEITO!$AA$147</f>
        <v>2849.2590872801061</v>
      </c>
      <c r="M146" s="61">
        <f>$J$146-EFEITO!$K$146*EFEITO!$Y$146</f>
        <v>0</v>
      </c>
      <c r="N146" s="61">
        <f ca="1">$K$146-EFEITO!$M$146*EFEITO!$Z$146</f>
        <v>517.50625030246738</v>
      </c>
      <c r="O146" s="61">
        <f>$L$146-EFEITO!$O$146*EFEITO!$AA$146</f>
        <v>284.92590872801065</v>
      </c>
      <c r="P146" s="45"/>
      <c r="Q146" s="45"/>
      <c r="R146" s="45"/>
      <c r="S146" s="45"/>
      <c r="T146" s="45"/>
      <c r="U146" s="45"/>
      <c r="V146" s="45"/>
      <c r="W146" s="45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41" t="s">
        <v>21</v>
      </c>
      <c r="B147" s="41" t="s">
        <v>22</v>
      </c>
      <c r="C147" s="41" t="s">
        <v>23</v>
      </c>
      <c r="D147" s="41" t="s">
        <v>24</v>
      </c>
      <c r="E147" s="41" t="s">
        <v>32</v>
      </c>
      <c r="F147" s="41" t="s">
        <v>25</v>
      </c>
      <c r="G147" s="41" t="s">
        <v>25</v>
      </c>
      <c r="H147" s="41" t="s">
        <v>25</v>
      </c>
      <c r="I147" s="60">
        <v>44440</v>
      </c>
      <c r="J147" s="61">
        <f>EFEITO!$J$147*EFEITO!$Y$74</f>
        <v>0</v>
      </c>
      <c r="K147" s="61">
        <f ca="1">EFEITO!$L$147*EFEITO!$Z$147</f>
        <v>665.39987134151136</v>
      </c>
      <c r="L147" s="61">
        <f>EFEITO!$N$147*EFEITO!$AA$147</f>
        <v>366.35241197313422</v>
      </c>
      <c r="M147" s="61">
        <f>$J$147-EFEITO!$K$147*EFEITO!$Y$147</f>
        <v>0</v>
      </c>
      <c r="N147" s="61">
        <f ca="1">$K$147-EFEITO!$M$147*EFEITO!$Z$147</f>
        <v>0</v>
      </c>
      <c r="O147" s="61">
        <f>$L$147-EFEITO!$O$147*EFEITO!$AA$147</f>
        <v>0</v>
      </c>
      <c r="P147" s="45"/>
      <c r="Q147" s="45"/>
      <c r="R147" s="45"/>
      <c r="S147" s="45"/>
      <c r="T147" s="45"/>
      <c r="U147" s="45"/>
      <c r="V147" s="45"/>
      <c r="W147" s="45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41" t="s">
        <v>27</v>
      </c>
      <c r="B148" s="41" t="s">
        <v>22</v>
      </c>
      <c r="C148" s="41" t="s">
        <v>23</v>
      </c>
      <c r="D148" s="41" t="s">
        <v>24</v>
      </c>
      <c r="E148" s="41" t="s">
        <v>32</v>
      </c>
      <c r="F148" s="41" t="s">
        <v>25</v>
      </c>
      <c r="G148" s="41" t="s">
        <v>25</v>
      </c>
      <c r="H148" s="41" t="s">
        <v>25</v>
      </c>
      <c r="I148" s="60">
        <v>44440</v>
      </c>
      <c r="J148" s="61">
        <f>EFEITO!$J$148*EFEITO!$Y$74</f>
        <v>0</v>
      </c>
      <c r="K148" s="61">
        <f ca="1">EFEITO!$L$148*EFEITO!$Z$147</f>
        <v>-3.1223143076504702</v>
      </c>
      <c r="L148" s="61">
        <f>EFEITO!$N$148*EFEITO!$AA$147</f>
        <v>-1.7190676265684088</v>
      </c>
      <c r="M148" s="61">
        <f>$J$148-EFEITO!$K$148*EFEITO!$Y$148</f>
        <v>0</v>
      </c>
      <c r="N148" s="61">
        <f ca="1">$K$148-EFEITO!$M$148*EFEITO!$Z$148</f>
        <v>0</v>
      </c>
      <c r="O148" s="61">
        <f>$L$148-EFEITO!$O$148*EFEITO!$AA$148</f>
        <v>0</v>
      </c>
      <c r="P148" s="45"/>
      <c r="Q148" s="45"/>
      <c r="R148" s="45"/>
      <c r="S148" s="45"/>
      <c r="T148" s="45"/>
      <c r="U148" s="45"/>
      <c r="V148" s="45"/>
      <c r="W148" s="45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41" t="s">
        <v>21</v>
      </c>
      <c r="B149" s="41" t="s">
        <v>22</v>
      </c>
      <c r="C149" s="41" t="s">
        <v>23</v>
      </c>
      <c r="D149" s="41" t="s">
        <v>24</v>
      </c>
      <c r="E149" s="41" t="s">
        <v>32</v>
      </c>
      <c r="F149" s="41" t="s">
        <v>25</v>
      </c>
      <c r="G149" s="41" t="s">
        <v>25</v>
      </c>
      <c r="H149" s="41" t="s">
        <v>25</v>
      </c>
      <c r="I149" s="60">
        <v>44470</v>
      </c>
      <c r="J149" s="61">
        <f>EFEITO!$J$149*EFEITO!$Y$74</f>
        <v>0</v>
      </c>
      <c r="K149" s="61">
        <f ca="1">EFEITO!$L$149*EFEITO!$Z$147</f>
        <v>1127.849312685742</v>
      </c>
      <c r="L149" s="61">
        <f>EFEITO!$N$149*EFEITO!$AA$147</f>
        <v>620.96542821932189</v>
      </c>
      <c r="M149" s="61">
        <f>$J$149-EFEITO!$K$149*EFEITO!$Y$149</f>
        <v>0</v>
      </c>
      <c r="N149" s="61">
        <f ca="1">$K$149-EFEITO!$M$149*EFEITO!$Z$149</f>
        <v>0</v>
      </c>
      <c r="O149" s="61">
        <f>$L$149-EFEITO!$O$149*EFEITO!$AA$149</f>
        <v>0</v>
      </c>
      <c r="P149" s="45"/>
      <c r="Q149" s="45"/>
      <c r="R149" s="45"/>
      <c r="S149" s="45"/>
      <c r="T149" s="45"/>
      <c r="U149" s="45"/>
      <c r="V149" s="45"/>
      <c r="W149" s="45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41" t="s">
        <v>21</v>
      </c>
      <c r="B150" s="41" t="s">
        <v>22</v>
      </c>
      <c r="C150" s="41" t="s">
        <v>23</v>
      </c>
      <c r="D150" s="41" t="s">
        <v>24</v>
      </c>
      <c r="E150" s="41" t="s">
        <v>32</v>
      </c>
      <c r="F150" s="41" t="s">
        <v>25</v>
      </c>
      <c r="G150" s="41" t="s">
        <v>25</v>
      </c>
      <c r="H150" s="41" t="s">
        <v>25</v>
      </c>
      <c r="I150" s="60">
        <v>44501</v>
      </c>
      <c r="J150" s="61">
        <f>EFEITO!$J$150*EFEITO!$Y$74</f>
        <v>0</v>
      </c>
      <c r="K150" s="61">
        <f ca="1">EFEITO!$L$150*EFEITO!$Z$147</f>
        <v>1017.180616670131</v>
      </c>
      <c r="L150" s="61">
        <f>EFEITO!$N$150*EFEITO!$AA$147</f>
        <v>560.03403123317503</v>
      </c>
      <c r="M150" s="61">
        <f>$J$150-EFEITO!$K$150*EFEITO!$Y$150</f>
        <v>0</v>
      </c>
      <c r="N150" s="61">
        <f ca="1">$K$150-EFEITO!$M$150*EFEITO!$Z$150</f>
        <v>0</v>
      </c>
      <c r="O150" s="61">
        <f>$L$150-EFEITO!$O$150*EFEITO!$AA$150</f>
        <v>0</v>
      </c>
      <c r="P150" s="45"/>
      <c r="Q150" s="45"/>
      <c r="R150" s="45"/>
      <c r="S150" s="45"/>
      <c r="T150" s="45"/>
      <c r="U150" s="45"/>
      <c r="V150" s="45"/>
      <c r="W150" s="45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41" t="s">
        <v>21</v>
      </c>
      <c r="B151" s="41" t="s">
        <v>22</v>
      </c>
      <c r="C151" s="41" t="s">
        <v>23</v>
      </c>
      <c r="D151" s="41" t="s">
        <v>24</v>
      </c>
      <c r="E151" s="41" t="s">
        <v>32</v>
      </c>
      <c r="F151" s="41" t="s">
        <v>25</v>
      </c>
      <c r="G151" s="41" t="s">
        <v>25</v>
      </c>
      <c r="H151" s="41" t="s">
        <v>25</v>
      </c>
      <c r="I151" s="60">
        <v>44531</v>
      </c>
      <c r="J151" s="61">
        <f>EFEITO!$J$151*EFEITO!$Y$74</f>
        <v>0</v>
      </c>
      <c r="K151" s="61">
        <f ca="1">EFEITO!$L$151*EFEITO!$Z$147</f>
        <v>906.85884446648106</v>
      </c>
      <c r="L151" s="61">
        <f>EFEITO!$N$151*EFEITO!$AA$147</f>
        <v>499.29364176109118</v>
      </c>
      <c r="M151" s="61">
        <f>$J$151-EFEITO!$K$151*EFEITO!$Y$151</f>
        <v>0</v>
      </c>
      <c r="N151" s="61">
        <f ca="1">$K$151-EFEITO!$M$151*EFEITO!$Z$151</f>
        <v>0</v>
      </c>
      <c r="O151" s="61">
        <f>$L$151-EFEITO!$O$151*EFEITO!$AA$151</f>
        <v>0</v>
      </c>
      <c r="P151" s="45"/>
      <c r="Q151" s="45"/>
      <c r="R151" s="45"/>
      <c r="S151" s="45"/>
      <c r="T151" s="45"/>
      <c r="U151" s="45"/>
      <c r="V151" s="45"/>
      <c r="W151" s="45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41" t="s">
        <v>21</v>
      </c>
      <c r="B152" s="41" t="s">
        <v>22</v>
      </c>
      <c r="C152" s="41" t="s">
        <v>23</v>
      </c>
      <c r="D152" s="41" t="s">
        <v>24</v>
      </c>
      <c r="E152" s="41" t="s">
        <v>32</v>
      </c>
      <c r="F152" s="41" t="s">
        <v>25</v>
      </c>
      <c r="G152" s="41" t="s">
        <v>25</v>
      </c>
      <c r="H152" s="41" t="s">
        <v>25</v>
      </c>
      <c r="I152" s="60">
        <v>44562</v>
      </c>
      <c r="J152" s="61">
        <f>EFEITO!$J$152*EFEITO!$Y$74</f>
        <v>0</v>
      </c>
      <c r="K152" s="61">
        <f ca="1">EFEITO!$L$152*EFEITO!$Z$147</f>
        <v>1478.9362103904396</v>
      </c>
      <c r="L152" s="61">
        <f>EFEITO!$N$152*EFEITO!$AA$147</f>
        <v>814.26503245123638</v>
      </c>
      <c r="M152" s="61">
        <f>$J$152-EFEITO!$K$152*EFEITO!$Y$152</f>
        <v>0</v>
      </c>
      <c r="N152" s="61">
        <f ca="1">$K$152-EFEITO!$M$152*EFEITO!$Z$152</f>
        <v>0</v>
      </c>
      <c r="O152" s="61">
        <f>$L$152-EFEITO!$O$152*EFEITO!$AA$152</f>
        <v>0</v>
      </c>
      <c r="P152" s="45"/>
      <c r="Q152" s="45"/>
      <c r="R152" s="45"/>
      <c r="S152" s="45"/>
      <c r="T152" s="45"/>
      <c r="U152" s="45"/>
      <c r="V152" s="45"/>
      <c r="W152" s="45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41" t="s">
        <v>21</v>
      </c>
      <c r="B153" s="41" t="s">
        <v>22</v>
      </c>
      <c r="C153" s="41" t="s">
        <v>23</v>
      </c>
      <c r="D153" s="41" t="s">
        <v>24</v>
      </c>
      <c r="E153" s="41" t="s">
        <v>32</v>
      </c>
      <c r="F153" s="41" t="s">
        <v>25</v>
      </c>
      <c r="G153" s="41" t="s">
        <v>25</v>
      </c>
      <c r="H153" s="41" t="s">
        <v>25</v>
      </c>
      <c r="I153" s="60">
        <v>44593</v>
      </c>
      <c r="J153" s="61">
        <f>EFEITO!$J$153*EFEITO!$Y$74</f>
        <v>0</v>
      </c>
      <c r="K153" s="61">
        <f ca="1">EFEITO!$L$153*EFEITO!$Z$147</f>
        <v>3210.0860320766446</v>
      </c>
      <c r="L153" s="61">
        <f>EFEITO!$N$153*EFEITO!$AA$147</f>
        <v>1767.3925276263876</v>
      </c>
      <c r="M153" s="61">
        <f>$J$153-EFEITO!$K$153*EFEITO!$Y$153</f>
        <v>0</v>
      </c>
      <c r="N153" s="61">
        <f ca="1">$K$153-EFEITO!$M$153*EFEITO!$Z$153</f>
        <v>0</v>
      </c>
      <c r="O153" s="61">
        <f>$L$153-EFEITO!$O$153*EFEITO!$AA$153</f>
        <v>0</v>
      </c>
      <c r="P153" s="45"/>
      <c r="Q153" s="45"/>
      <c r="R153" s="45"/>
      <c r="S153" s="45"/>
      <c r="T153" s="45"/>
      <c r="U153" s="45"/>
      <c r="V153" s="45"/>
      <c r="W153" s="45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41" t="s">
        <v>21</v>
      </c>
      <c r="B154" s="41" t="s">
        <v>22</v>
      </c>
      <c r="C154" s="41" t="s">
        <v>23</v>
      </c>
      <c r="D154" s="41" t="s">
        <v>24</v>
      </c>
      <c r="E154" s="41" t="s">
        <v>32</v>
      </c>
      <c r="F154" s="41" t="s">
        <v>25</v>
      </c>
      <c r="G154" s="41" t="s">
        <v>25</v>
      </c>
      <c r="H154" s="41" t="s">
        <v>25</v>
      </c>
      <c r="I154" s="60">
        <v>44621</v>
      </c>
      <c r="J154" s="61">
        <f>EFEITO!$J$154*EFEITO!$Y$74</f>
        <v>0</v>
      </c>
      <c r="K154" s="61">
        <f ca="1">EFEITO!$L$154*EFEITO!$Z$147</f>
        <v>2003.8319378876797</v>
      </c>
      <c r="L154" s="61">
        <f>EFEITO!$N$154*EFEITO!$AA$147</f>
        <v>1103.2594012287923</v>
      </c>
      <c r="M154" s="61">
        <f>$J$154-EFEITO!$K$154*EFEITO!$Y$154</f>
        <v>0</v>
      </c>
      <c r="N154" s="61">
        <f ca="1">$K$154-EFEITO!$M$154*EFEITO!$Z$154</f>
        <v>0</v>
      </c>
      <c r="O154" s="61">
        <f>$L$154-EFEITO!$O$154*EFEITO!$AA$154</f>
        <v>0</v>
      </c>
      <c r="P154" s="45"/>
      <c r="Q154" s="45"/>
      <c r="R154" s="45"/>
      <c r="S154" s="45"/>
      <c r="T154" s="45"/>
      <c r="U154" s="45"/>
      <c r="V154" s="45"/>
      <c r="W154" s="45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41" t="s">
        <v>27</v>
      </c>
      <c r="B155" s="41" t="s">
        <v>22</v>
      </c>
      <c r="C155" s="41" t="s">
        <v>23</v>
      </c>
      <c r="D155" s="41" t="s">
        <v>24</v>
      </c>
      <c r="E155" s="41" t="s">
        <v>32</v>
      </c>
      <c r="F155" s="41" t="s">
        <v>25</v>
      </c>
      <c r="G155" s="41" t="s">
        <v>25</v>
      </c>
      <c r="H155" s="41" t="s">
        <v>25</v>
      </c>
      <c r="I155" s="60">
        <v>44621</v>
      </c>
      <c r="J155" s="61">
        <f>EFEITO!$J$155*EFEITO!$Y$74</f>
        <v>0</v>
      </c>
      <c r="K155" s="61">
        <f ca="1">EFEITO!$L$155*EFEITO!$Z$147</f>
        <v>-72.854000511844305</v>
      </c>
      <c r="L155" s="61">
        <f>EFEITO!$N$155*EFEITO!$AA$147</f>
        <v>-40.111577953262874</v>
      </c>
      <c r="M155" s="61">
        <f>$J$155-EFEITO!$K$155*EFEITO!$Y$155</f>
        <v>0</v>
      </c>
      <c r="N155" s="61">
        <f ca="1">$K$155-EFEITO!$M$155*EFEITO!$Z$155</f>
        <v>0</v>
      </c>
      <c r="O155" s="61">
        <f>$L$155-EFEITO!$O$155*EFEITO!$AA$155</f>
        <v>0</v>
      </c>
      <c r="P155" s="45"/>
      <c r="Q155" s="45"/>
      <c r="R155" s="45"/>
      <c r="S155" s="45"/>
      <c r="T155" s="45"/>
      <c r="U155" s="45"/>
      <c r="V155" s="45"/>
      <c r="W155" s="45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41" t="s">
        <v>21</v>
      </c>
      <c r="B156" s="41" t="s">
        <v>22</v>
      </c>
      <c r="C156" s="41" t="s">
        <v>23</v>
      </c>
      <c r="D156" s="41" t="s">
        <v>24</v>
      </c>
      <c r="E156" s="41" t="s">
        <v>32</v>
      </c>
      <c r="F156" s="41" t="s">
        <v>25</v>
      </c>
      <c r="G156" s="41" t="s">
        <v>25</v>
      </c>
      <c r="H156" s="41" t="s">
        <v>25</v>
      </c>
      <c r="I156" s="60">
        <v>44652</v>
      </c>
      <c r="J156" s="61">
        <f>EFEITO!$J$156*EFEITO!$Y$74</f>
        <v>0</v>
      </c>
      <c r="K156" s="61">
        <f ca="1">EFEITO!$L$156*EFEITO!$Z$147</f>
        <v>1522.3016868855848</v>
      </c>
      <c r="L156" s="61">
        <f>EFEITO!$N$156*EFEITO!$AA$147</f>
        <v>838.14097170913089</v>
      </c>
      <c r="M156" s="61">
        <f>$J$156-EFEITO!$K$156*EFEITO!$Y$156</f>
        <v>0</v>
      </c>
      <c r="N156" s="61">
        <f ca="1">$K$156-EFEITO!$M$156*EFEITO!$Z$156</f>
        <v>0</v>
      </c>
      <c r="O156" s="61">
        <f>$L$156-EFEITO!$O$156*EFEITO!$AA$156</f>
        <v>0</v>
      </c>
      <c r="P156" s="45"/>
      <c r="Q156" s="45"/>
      <c r="R156" s="45"/>
      <c r="S156" s="45"/>
      <c r="T156" s="45"/>
      <c r="U156" s="45"/>
      <c r="V156" s="45"/>
      <c r="W156" s="45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41" t="s">
        <v>21</v>
      </c>
      <c r="B157" s="41" t="s">
        <v>22</v>
      </c>
      <c r="C157" s="41" t="s">
        <v>23</v>
      </c>
      <c r="D157" s="41" t="s">
        <v>24</v>
      </c>
      <c r="E157" s="41" t="s">
        <v>32</v>
      </c>
      <c r="F157" s="41" t="s">
        <v>25</v>
      </c>
      <c r="G157" s="41" t="s">
        <v>25</v>
      </c>
      <c r="H157" s="41" t="s">
        <v>25</v>
      </c>
      <c r="I157" s="60">
        <v>44682</v>
      </c>
      <c r="J157" s="61">
        <f>EFEITO!$J$157*EFEITO!$Y$74</f>
        <v>0</v>
      </c>
      <c r="K157" s="61">
        <f ca="1">EFEITO!$L$157*EFEITO!$Z$147</f>
        <v>845.80025356131637</v>
      </c>
      <c r="L157" s="61">
        <f>EFEITO!$N$157*EFEITO!$AA$147</f>
        <v>465.67631928597569</v>
      </c>
      <c r="M157" s="61">
        <f>$J$157-EFEITO!$K$157*EFEITO!$Y$157</f>
        <v>0</v>
      </c>
      <c r="N157" s="61">
        <f ca="1">$K$157-EFEITO!$M$157*EFEITO!$Z$157</f>
        <v>0</v>
      </c>
      <c r="O157" s="61">
        <f>$L$157-EFEITO!$O$157*EFEITO!$AA$157</f>
        <v>0</v>
      </c>
      <c r="P157" s="45"/>
      <c r="Q157" s="45"/>
      <c r="R157" s="45"/>
      <c r="S157" s="45"/>
      <c r="T157" s="45"/>
      <c r="U157" s="45"/>
      <c r="V157" s="45"/>
      <c r="W157" s="45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41" t="s">
        <v>21</v>
      </c>
      <c r="B158" s="41" t="s">
        <v>22</v>
      </c>
      <c r="C158" s="41" t="s">
        <v>23</v>
      </c>
      <c r="D158" s="41" t="s">
        <v>24</v>
      </c>
      <c r="E158" s="41" t="s">
        <v>32</v>
      </c>
      <c r="F158" s="41" t="s">
        <v>25</v>
      </c>
      <c r="G158" s="41" t="s">
        <v>25</v>
      </c>
      <c r="H158" s="41" t="s">
        <v>25</v>
      </c>
      <c r="I158" s="60">
        <v>44713</v>
      </c>
      <c r="J158" s="61">
        <f>EFEITO!$J$158*EFEITO!$Y$74</f>
        <v>0</v>
      </c>
      <c r="K158" s="61">
        <f ca="1">EFEITO!$L$158*EFEITO!$Z$147</f>
        <v>1372.7775239303235</v>
      </c>
      <c r="L158" s="61">
        <f>EFEITO!$N$158*EFEITO!$AA$147</f>
        <v>755.81673314791044</v>
      </c>
      <c r="M158" s="61">
        <f>$J$158-EFEITO!$K$158*EFEITO!$Y$158</f>
        <v>0</v>
      </c>
      <c r="N158" s="61">
        <f ca="1">$K$158-EFEITO!$M$158*EFEITO!$Z$158</f>
        <v>0</v>
      </c>
      <c r="O158" s="61">
        <f>$L$158-EFEITO!$O$158*EFEITO!$AA$158</f>
        <v>0</v>
      </c>
      <c r="P158" s="45"/>
      <c r="Q158" s="45"/>
      <c r="R158" s="45"/>
      <c r="S158" s="45"/>
      <c r="T158" s="45"/>
      <c r="U158" s="45"/>
      <c r="V158" s="45"/>
      <c r="W158" s="45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41" t="s">
        <v>21</v>
      </c>
      <c r="B159" s="41" t="s">
        <v>22</v>
      </c>
      <c r="C159" s="41" t="s">
        <v>23</v>
      </c>
      <c r="D159" s="41" t="s">
        <v>24</v>
      </c>
      <c r="E159" s="41" t="s">
        <v>32</v>
      </c>
      <c r="F159" s="41" t="s">
        <v>25</v>
      </c>
      <c r="G159" s="41" t="s">
        <v>25</v>
      </c>
      <c r="H159" s="41" t="s">
        <v>25</v>
      </c>
      <c r="I159" s="60">
        <v>44743</v>
      </c>
      <c r="J159" s="61">
        <f>EFEITO!$J$159*EFEITO!$Y$74</f>
        <v>0</v>
      </c>
      <c r="K159" s="61">
        <f ca="1">EFEITO!$L$159*EFEITO!$Z$147</f>
        <v>1692.641278558516</v>
      </c>
      <c r="L159" s="61">
        <f>EFEITO!$N$159*EFEITO!$AA$147</f>
        <v>931.92566111414067</v>
      </c>
      <c r="M159" s="61">
        <f>$J$159-EFEITO!$K$159*EFEITO!$Y$159</f>
        <v>0</v>
      </c>
      <c r="N159" s="61">
        <f ca="1">$K$159-EFEITO!$M$159*EFEITO!$Z$159</f>
        <v>0</v>
      </c>
      <c r="O159" s="61">
        <f>$L$159-EFEITO!$O$159*EFEITO!$AA$159</f>
        <v>0</v>
      </c>
      <c r="P159" s="45"/>
      <c r="Q159" s="45"/>
      <c r="R159" s="45"/>
      <c r="S159" s="45"/>
      <c r="T159" s="45"/>
      <c r="U159" s="45"/>
      <c r="V159" s="45"/>
      <c r="W159" s="45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41" t="s">
        <v>55</v>
      </c>
      <c r="B160" s="41" t="s">
        <v>22</v>
      </c>
      <c r="C160" s="41" t="s">
        <v>23</v>
      </c>
      <c r="D160" s="41" t="s">
        <v>24</v>
      </c>
      <c r="E160" s="41" t="s">
        <v>32</v>
      </c>
      <c r="F160" s="41" t="s">
        <v>25</v>
      </c>
      <c r="G160" s="41" t="s">
        <v>25</v>
      </c>
      <c r="H160" s="41" t="s">
        <v>25</v>
      </c>
      <c r="I160" s="60">
        <v>44774</v>
      </c>
      <c r="J160" s="61">
        <f>EFEITO!$J$160*EFEITO!$Y$74</f>
        <v>0</v>
      </c>
      <c r="K160" s="61">
        <f ca="1">EFEITO!$L$160*EFEITO!$Z$147</f>
        <v>1692.641278558516</v>
      </c>
      <c r="L160" s="61">
        <f>EFEITO!$N$160*EFEITO!$AA$147</f>
        <v>931.92566111414067</v>
      </c>
      <c r="M160" s="61">
        <f>$J$160-EFEITO!$K$160*EFEITO!$Y$160</f>
        <v>0</v>
      </c>
      <c r="N160" s="61">
        <f ca="1">$K$160-EFEITO!$M$160*EFEITO!$Z$160</f>
        <v>0</v>
      </c>
      <c r="O160" s="61">
        <f>$L$160-EFEITO!$O$160*EFEITO!$AA$160</f>
        <v>0</v>
      </c>
      <c r="P160" s="45"/>
      <c r="Q160" s="45"/>
      <c r="R160" s="45"/>
      <c r="S160" s="45"/>
      <c r="T160" s="45"/>
      <c r="U160" s="45"/>
      <c r="V160" s="45"/>
      <c r="W160" s="45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41" t="s">
        <v>21</v>
      </c>
      <c r="B161" s="41" t="s">
        <v>42</v>
      </c>
      <c r="C161" s="41" t="s">
        <v>23</v>
      </c>
      <c r="D161" s="41" t="s">
        <v>43</v>
      </c>
      <c r="E161" s="41" t="s">
        <v>51</v>
      </c>
      <c r="F161" s="41" t="s">
        <v>52</v>
      </c>
      <c r="G161" s="41" t="s">
        <v>25</v>
      </c>
      <c r="H161" s="41" t="s">
        <v>25</v>
      </c>
      <c r="I161" s="60">
        <v>44440</v>
      </c>
      <c r="J161" s="61">
        <f>EFEITO!$J$161*EFEITO!$Y$74</f>
        <v>0</v>
      </c>
      <c r="K161" s="61">
        <f ca="1">EFEITO!$L$161*EFEITO!$Z$74</f>
        <v>2797.4470666945631</v>
      </c>
      <c r="L161" s="61">
        <f>EFEITO!$N$161*EFEITO!$AA$74</f>
        <v>1192.6509178103495</v>
      </c>
      <c r="M161" s="61">
        <f>$J$161-EFEITO!$K$161*EFEITO!$Y$161</f>
        <v>0</v>
      </c>
      <c r="N161" s="61">
        <f ca="1">$K$161-EFEITO!$M$161*EFEITO!$Z$161</f>
        <v>167.84682400167412</v>
      </c>
      <c r="O161" s="61">
        <f>$L$161-EFEITO!$O$161*EFEITO!$AA$161</f>
        <v>71.559055068621092</v>
      </c>
      <c r="P161" s="45"/>
      <c r="Q161" s="45"/>
      <c r="R161" s="45"/>
      <c r="S161" s="45"/>
      <c r="T161" s="45"/>
      <c r="U161" s="45"/>
      <c r="V161" s="45"/>
      <c r="W161" s="45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41" t="s">
        <v>21</v>
      </c>
      <c r="B162" s="41" t="s">
        <v>42</v>
      </c>
      <c r="C162" s="41" t="s">
        <v>23</v>
      </c>
      <c r="D162" s="41" t="s">
        <v>43</v>
      </c>
      <c r="E162" s="41" t="s">
        <v>51</v>
      </c>
      <c r="F162" s="41" t="s">
        <v>52</v>
      </c>
      <c r="G162" s="41" t="s">
        <v>25</v>
      </c>
      <c r="H162" s="41" t="s">
        <v>25</v>
      </c>
      <c r="I162" s="60">
        <v>44470</v>
      </c>
      <c r="J162" s="61">
        <f>EFEITO!$J$162*EFEITO!$Y$74</f>
        <v>0</v>
      </c>
      <c r="K162" s="61">
        <f ca="1">EFEITO!$L$162*EFEITO!$Z$74</f>
        <v>3547.8832993520568</v>
      </c>
      <c r="L162" s="61">
        <f>EFEITO!$N$162*EFEITO!$AA$74</f>
        <v>1512.5885038661365</v>
      </c>
      <c r="M162" s="61">
        <f>$J$162-EFEITO!$K$162*EFEITO!$Y$162</f>
        <v>0</v>
      </c>
      <c r="N162" s="61">
        <f ca="1">$K$162-EFEITO!$M$162*EFEITO!$Z$162</f>
        <v>212.87299796112347</v>
      </c>
      <c r="O162" s="61">
        <f>$L$162-EFEITO!$O$162*EFEITO!$AA$162</f>
        <v>90.755310231968224</v>
      </c>
      <c r="P162" s="45"/>
      <c r="Q162" s="45"/>
      <c r="R162" s="45"/>
      <c r="S162" s="45"/>
      <c r="T162" s="45"/>
      <c r="U162" s="45"/>
      <c r="V162" s="45"/>
      <c r="W162" s="45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41" t="s">
        <v>27</v>
      </c>
      <c r="B163" s="41" t="s">
        <v>42</v>
      </c>
      <c r="C163" s="41" t="s">
        <v>23</v>
      </c>
      <c r="D163" s="41" t="s">
        <v>43</v>
      </c>
      <c r="E163" s="41" t="s">
        <v>51</v>
      </c>
      <c r="F163" s="41" t="s">
        <v>52</v>
      </c>
      <c r="G163" s="41" t="s">
        <v>25</v>
      </c>
      <c r="H163" s="41" t="s">
        <v>25</v>
      </c>
      <c r="I163" s="60">
        <v>44470</v>
      </c>
      <c r="J163" s="61">
        <f>EFEITO!$J$163*EFEITO!$Y$74</f>
        <v>0</v>
      </c>
      <c r="K163" s="61">
        <f ca="1">EFEITO!$L$163*EFEITO!$Z$74</f>
        <v>-44.802163143730994</v>
      </c>
      <c r="L163" s="61">
        <f>EFEITO!$N$163*EFEITO!$AA$74</f>
        <v>-19.100751406315656</v>
      </c>
      <c r="M163" s="61">
        <f>$J$163-EFEITO!$K$163*EFEITO!$Y$163</f>
        <v>0</v>
      </c>
      <c r="N163" s="61">
        <f ca="1">$K$163-EFEITO!$M$163*EFEITO!$Z$163</f>
        <v>-2.6881297886238613</v>
      </c>
      <c r="O163" s="61">
        <f>$L$163-EFEITO!$O$163*EFEITO!$AA$163</f>
        <v>-1.1460450843789403</v>
      </c>
      <c r="P163" s="45"/>
      <c r="Q163" s="45"/>
      <c r="R163" s="45"/>
      <c r="S163" s="45"/>
      <c r="T163" s="45"/>
      <c r="U163" s="45"/>
      <c r="V163" s="45"/>
      <c r="W163" s="45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41" t="s">
        <v>21</v>
      </c>
      <c r="B164" s="41" t="s">
        <v>42</v>
      </c>
      <c r="C164" s="41" t="s">
        <v>23</v>
      </c>
      <c r="D164" s="41" t="s">
        <v>43</v>
      </c>
      <c r="E164" s="41" t="s">
        <v>51</v>
      </c>
      <c r="F164" s="41" t="s">
        <v>52</v>
      </c>
      <c r="G164" s="41" t="s">
        <v>25</v>
      </c>
      <c r="H164" s="41" t="s">
        <v>25</v>
      </c>
      <c r="I164" s="60">
        <v>44501</v>
      </c>
      <c r="J164" s="61">
        <f>EFEITO!$J$164*EFEITO!$Y$74</f>
        <v>0</v>
      </c>
      <c r="K164" s="61">
        <f ca="1">EFEITO!$L$164*EFEITO!$Z$74</f>
        <v>5188.0904920440489</v>
      </c>
      <c r="L164" s="61">
        <f>EFEITO!$N$164*EFEITO!$AA$74</f>
        <v>2211.8670128513527</v>
      </c>
      <c r="M164" s="61">
        <f>$J$164-EFEITO!$K$164*EFEITO!$Y$164</f>
        <v>0</v>
      </c>
      <c r="N164" s="61">
        <f ca="1">$K$164-EFEITO!$M$164*EFEITO!$Z$164</f>
        <v>311.28542952264343</v>
      </c>
      <c r="O164" s="61">
        <f>$L$164-EFEITO!$O$164*EFEITO!$AA$164</f>
        <v>132.71202077108092</v>
      </c>
      <c r="P164" s="45"/>
      <c r="Q164" s="45"/>
      <c r="R164" s="45"/>
      <c r="S164" s="45"/>
      <c r="T164" s="45"/>
      <c r="U164" s="45"/>
      <c r="V164" s="45"/>
      <c r="W164" s="45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41" t="s">
        <v>21</v>
      </c>
      <c r="B165" s="41" t="s">
        <v>42</v>
      </c>
      <c r="C165" s="41" t="s">
        <v>23</v>
      </c>
      <c r="D165" s="41" t="s">
        <v>43</v>
      </c>
      <c r="E165" s="41" t="s">
        <v>51</v>
      </c>
      <c r="F165" s="41" t="s">
        <v>52</v>
      </c>
      <c r="G165" s="41" t="s">
        <v>25</v>
      </c>
      <c r="H165" s="41" t="s">
        <v>25</v>
      </c>
      <c r="I165" s="60">
        <v>44531</v>
      </c>
      <c r="J165" s="61">
        <f>EFEITO!$J$165*EFEITO!$Y$74</f>
        <v>0</v>
      </c>
      <c r="K165" s="61">
        <f ca="1">EFEITO!$L$165*EFEITO!$Z$74</f>
        <v>3769.6540069135253</v>
      </c>
      <c r="L165" s="61">
        <f>EFEITO!$N$165*EFEITO!$AA$74</f>
        <v>1607.1372233273992</v>
      </c>
      <c r="M165" s="61">
        <f>$J$165-EFEITO!$K$165*EFEITO!$Y$165</f>
        <v>0</v>
      </c>
      <c r="N165" s="61">
        <f ca="1">$K$165-EFEITO!$M$165*EFEITO!$Z$165</f>
        <v>226.17924041481137</v>
      </c>
      <c r="O165" s="61">
        <f>$L$165-EFEITO!$O$165*EFEITO!$AA$165</f>
        <v>96.428233399644114</v>
      </c>
      <c r="P165" s="45"/>
      <c r="Q165" s="45"/>
      <c r="R165" s="45"/>
      <c r="S165" s="45"/>
      <c r="T165" s="45"/>
      <c r="U165" s="45"/>
      <c r="V165" s="45"/>
      <c r="W165" s="45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41" t="s">
        <v>28</v>
      </c>
      <c r="B166" s="41" t="s">
        <v>42</v>
      </c>
      <c r="C166" s="41" t="s">
        <v>23</v>
      </c>
      <c r="D166" s="41" t="s">
        <v>43</v>
      </c>
      <c r="E166" s="41" t="s">
        <v>51</v>
      </c>
      <c r="F166" s="41" t="s">
        <v>52</v>
      </c>
      <c r="G166" s="41" t="s">
        <v>25</v>
      </c>
      <c r="H166" s="41" t="s">
        <v>25</v>
      </c>
      <c r="I166" s="60">
        <v>44531</v>
      </c>
      <c r="J166" s="61">
        <f>EFEITO!$J$166*EFEITO!$Y$74</f>
        <v>0</v>
      </c>
      <c r="K166" s="61">
        <f ca="1">EFEITO!$L$166*EFEITO!$Z$74</f>
        <v>118.72573233088713</v>
      </c>
      <c r="L166" s="61">
        <f>EFEITO!$N$166*EFEITO!$AA$74</f>
        <v>50.616991226736488</v>
      </c>
      <c r="M166" s="61">
        <f>$J$166-EFEITO!$K$166*EFEITO!$Y$166</f>
        <v>0</v>
      </c>
      <c r="N166" s="61">
        <f ca="1">$K$166-EFEITO!$M$166*EFEITO!$Z$166</f>
        <v>7.1235439398532208</v>
      </c>
      <c r="O166" s="61">
        <f>$L$166-EFEITO!$O$166*EFEITO!$AA$166</f>
        <v>3.0370194736041896</v>
      </c>
      <c r="P166" s="45"/>
      <c r="Q166" s="45"/>
      <c r="R166" s="45"/>
      <c r="S166" s="45"/>
      <c r="T166" s="45"/>
      <c r="U166" s="45"/>
      <c r="V166" s="45"/>
      <c r="W166" s="45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41" t="s">
        <v>21</v>
      </c>
      <c r="B167" s="41" t="s">
        <v>42</v>
      </c>
      <c r="C167" s="41" t="s">
        <v>23</v>
      </c>
      <c r="D167" s="41" t="s">
        <v>43</v>
      </c>
      <c r="E167" s="41" t="s">
        <v>51</v>
      </c>
      <c r="F167" s="41" t="s">
        <v>52</v>
      </c>
      <c r="G167" s="41" t="s">
        <v>25</v>
      </c>
      <c r="H167" s="41" t="s">
        <v>25</v>
      </c>
      <c r="I167" s="60">
        <v>44562</v>
      </c>
      <c r="J167" s="61">
        <f>EFEITO!$J$167*EFEITO!$Y$74</f>
        <v>0</v>
      </c>
      <c r="K167" s="61">
        <f ca="1">EFEITO!$L$167*EFEITO!$Z$74</f>
        <v>8523.6115380948195</v>
      </c>
      <c r="L167" s="61">
        <f>EFEITO!$N$167*EFEITO!$AA$74</f>
        <v>3633.9179550515532</v>
      </c>
      <c r="M167" s="61">
        <f>$J$167-EFEITO!$K$167*EFEITO!$Y$167</f>
        <v>0</v>
      </c>
      <c r="N167" s="61">
        <f ca="1">$K$167-EFEITO!$M$167*EFEITO!$Z$167</f>
        <v>511.41669228568844</v>
      </c>
      <c r="O167" s="61">
        <f>$L$167-EFEITO!$O$167*EFEITO!$AA$167</f>
        <v>218.03507730309366</v>
      </c>
      <c r="P167" s="45"/>
      <c r="Q167" s="45"/>
      <c r="R167" s="45"/>
      <c r="S167" s="45"/>
      <c r="T167" s="45"/>
      <c r="U167" s="45"/>
      <c r="V167" s="45"/>
      <c r="W167" s="45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41" t="s">
        <v>27</v>
      </c>
      <c r="B168" s="41" t="s">
        <v>42</v>
      </c>
      <c r="C168" s="41" t="s">
        <v>23</v>
      </c>
      <c r="D168" s="41" t="s">
        <v>43</v>
      </c>
      <c r="E168" s="41" t="s">
        <v>51</v>
      </c>
      <c r="F168" s="41" t="s">
        <v>52</v>
      </c>
      <c r="G168" s="41" t="s">
        <v>25</v>
      </c>
      <c r="H168" s="41" t="s">
        <v>25</v>
      </c>
      <c r="I168" s="60">
        <v>44562</v>
      </c>
      <c r="J168" s="61">
        <f>EFEITO!$J$168*EFEITO!$Y$74</f>
        <v>0</v>
      </c>
      <c r="K168" s="61">
        <f ca="1">EFEITO!$L$168*EFEITO!$Z$74</f>
        <v>-1469.0629294829391</v>
      </c>
      <c r="L168" s="61">
        <f>EFEITO!$N$168*EFEITO!$AA$74</f>
        <v>-626.31363861309035</v>
      </c>
      <c r="M168" s="61">
        <f>$J$168-EFEITO!$K$168*EFEITO!$Y$168</f>
        <v>0</v>
      </c>
      <c r="N168" s="61">
        <f ca="1">$K$168-EFEITO!$M$168*EFEITO!$Z$168</f>
        <v>-88.143775768976411</v>
      </c>
      <c r="O168" s="61">
        <f>$L$168-EFEITO!$O$168*EFEITO!$AA$168</f>
        <v>-37.578818316785487</v>
      </c>
      <c r="P168" s="45"/>
      <c r="Q168" s="45"/>
      <c r="R168" s="45"/>
      <c r="S168" s="45"/>
      <c r="T168" s="45"/>
      <c r="U168" s="45"/>
      <c r="V168" s="45"/>
      <c r="W168" s="45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41" t="s">
        <v>28</v>
      </c>
      <c r="B169" s="41" t="s">
        <v>42</v>
      </c>
      <c r="C169" s="41" t="s">
        <v>23</v>
      </c>
      <c r="D169" s="41" t="s">
        <v>43</v>
      </c>
      <c r="E169" s="41" t="s">
        <v>51</v>
      </c>
      <c r="F169" s="41" t="s">
        <v>52</v>
      </c>
      <c r="G169" s="41" t="s">
        <v>25</v>
      </c>
      <c r="H169" s="41" t="s">
        <v>25</v>
      </c>
      <c r="I169" s="60">
        <v>44562</v>
      </c>
      <c r="J169" s="61">
        <f>EFEITO!$J$169*EFEITO!$Y$74</f>
        <v>0</v>
      </c>
      <c r="K169" s="61">
        <f ca="1">EFEITO!$L$169*EFEITO!$Z$74</f>
        <v>168.45613342042853</v>
      </c>
      <c r="L169" s="61">
        <f>EFEITO!$N$169*EFEITO!$AA$74</f>
        <v>71.818825287746861</v>
      </c>
      <c r="M169" s="61">
        <f>$J$169-EFEITO!$K$169*EFEITO!$Y$169</f>
        <v>0</v>
      </c>
      <c r="N169" s="61">
        <f ca="1">$K$169-EFEITO!$M$169*EFEITO!$Z$169</f>
        <v>10.107368005225709</v>
      </c>
      <c r="O169" s="61">
        <f>$L$169-EFEITO!$O$169*EFEITO!$AA$169</f>
        <v>4.3091295172648074</v>
      </c>
      <c r="P169" s="45"/>
      <c r="Q169" s="45"/>
      <c r="R169" s="45"/>
      <c r="S169" s="45"/>
      <c r="T169" s="45"/>
      <c r="U169" s="45"/>
      <c r="V169" s="45"/>
      <c r="W169" s="45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41" t="s">
        <v>21</v>
      </c>
      <c r="B170" s="41" t="s">
        <v>42</v>
      </c>
      <c r="C170" s="41" t="s">
        <v>23</v>
      </c>
      <c r="D170" s="41" t="s">
        <v>43</v>
      </c>
      <c r="E170" s="41" t="s">
        <v>51</v>
      </c>
      <c r="F170" s="41" t="s">
        <v>52</v>
      </c>
      <c r="G170" s="41" t="s">
        <v>25</v>
      </c>
      <c r="H170" s="41" t="s">
        <v>25</v>
      </c>
      <c r="I170" s="60">
        <v>44593</v>
      </c>
      <c r="J170" s="61">
        <f>EFEITO!$J$170*EFEITO!$Y$74</f>
        <v>0</v>
      </c>
      <c r="K170" s="61">
        <f ca="1">EFEITO!$L$170*EFEITO!$Z$74</f>
        <v>2765.6375308625143</v>
      </c>
      <c r="L170" s="61">
        <f>EFEITO!$N$170*EFEITO!$AA$74</f>
        <v>1179.0893843118654</v>
      </c>
      <c r="M170" s="61">
        <f>$J$170-EFEITO!$K$170*EFEITO!$Y$170</f>
        <v>0</v>
      </c>
      <c r="N170" s="61">
        <f ca="1">$K$170-EFEITO!$M$170*EFEITO!$Z$170</f>
        <v>165.93825185175092</v>
      </c>
      <c r="O170" s="61">
        <f>$L$170-EFEITO!$O$170*EFEITO!$AA$170</f>
        <v>70.745363058711973</v>
      </c>
      <c r="P170" s="45"/>
      <c r="Q170" s="45"/>
      <c r="R170" s="45"/>
      <c r="S170" s="45"/>
      <c r="T170" s="45"/>
      <c r="U170" s="45"/>
      <c r="V170" s="45"/>
      <c r="W170" s="45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41" t="s">
        <v>28</v>
      </c>
      <c r="B171" s="41" t="s">
        <v>42</v>
      </c>
      <c r="C171" s="41" t="s">
        <v>23</v>
      </c>
      <c r="D171" s="41" t="s">
        <v>43</v>
      </c>
      <c r="E171" s="41" t="s">
        <v>51</v>
      </c>
      <c r="F171" s="41" t="s">
        <v>52</v>
      </c>
      <c r="G171" s="41" t="s">
        <v>25</v>
      </c>
      <c r="H171" s="41" t="s">
        <v>25</v>
      </c>
      <c r="I171" s="60">
        <v>44593</v>
      </c>
      <c r="J171" s="61">
        <f>EFEITO!$J$171*EFEITO!$Y$74</f>
        <v>0</v>
      </c>
      <c r="K171" s="61">
        <f ca="1">EFEITO!$L$171*EFEITO!$Z$74</f>
        <v>72.579504292844206</v>
      </c>
      <c r="L171" s="61">
        <f>EFEITO!$N$171*EFEITO!$AA$74</f>
        <v>30.943217278231362</v>
      </c>
      <c r="M171" s="61">
        <f>$J$171-EFEITO!$K$171*EFEITO!$Y$171</f>
        <v>0</v>
      </c>
      <c r="N171" s="61">
        <f ca="1">$K$171-EFEITO!$M$171*EFEITO!$Z$171</f>
        <v>4.3547702575706495</v>
      </c>
      <c r="O171" s="61">
        <f>$L$171-EFEITO!$O$171*EFEITO!$AA$171</f>
        <v>1.8565930366938836</v>
      </c>
      <c r="P171" s="45"/>
      <c r="Q171" s="45"/>
      <c r="R171" s="45"/>
      <c r="S171" s="45"/>
      <c r="T171" s="45"/>
      <c r="U171" s="45"/>
      <c r="V171" s="45"/>
      <c r="W171" s="45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41" t="s">
        <v>21</v>
      </c>
      <c r="B172" s="41" t="s">
        <v>42</v>
      </c>
      <c r="C172" s="41" t="s">
        <v>23</v>
      </c>
      <c r="D172" s="41" t="s">
        <v>43</v>
      </c>
      <c r="E172" s="41" t="s">
        <v>51</v>
      </c>
      <c r="F172" s="41" t="s">
        <v>52</v>
      </c>
      <c r="G172" s="41" t="s">
        <v>25</v>
      </c>
      <c r="H172" s="41" t="s">
        <v>25</v>
      </c>
      <c r="I172" s="60">
        <v>44621</v>
      </c>
      <c r="J172" s="61">
        <f>EFEITO!$J$172*EFEITO!$Y$74</f>
        <v>0</v>
      </c>
      <c r="K172" s="61">
        <f ca="1">EFEITO!$L$172*EFEITO!$Z$74</f>
        <v>912.6200632378002</v>
      </c>
      <c r="L172" s="61">
        <f>EFEITO!$N$172*EFEITO!$AA$74</f>
        <v>389.0823061466499</v>
      </c>
      <c r="M172" s="61">
        <f>$J$172-EFEITO!$K$172*EFEITO!$Y$172</f>
        <v>0</v>
      </c>
      <c r="N172" s="61">
        <f ca="1">$K$172-EFEITO!$M$172*EFEITO!$Z$172</f>
        <v>54.75720379426798</v>
      </c>
      <c r="O172" s="61">
        <f>$L$172-EFEITO!$O$172*EFEITO!$AA$172</f>
        <v>23.344938368799035</v>
      </c>
      <c r="P172" s="45"/>
      <c r="Q172" s="45"/>
      <c r="R172" s="45"/>
      <c r="S172" s="45"/>
      <c r="T172" s="45"/>
      <c r="U172" s="45"/>
      <c r="V172" s="45"/>
      <c r="W172" s="45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41" t="s">
        <v>28</v>
      </c>
      <c r="B173" s="41" t="s">
        <v>42</v>
      </c>
      <c r="C173" s="41" t="s">
        <v>23</v>
      </c>
      <c r="D173" s="41" t="s">
        <v>43</v>
      </c>
      <c r="E173" s="41" t="s">
        <v>51</v>
      </c>
      <c r="F173" s="41" t="s">
        <v>52</v>
      </c>
      <c r="G173" s="41" t="s">
        <v>25</v>
      </c>
      <c r="H173" s="41" t="s">
        <v>25</v>
      </c>
      <c r="I173" s="60">
        <v>44621</v>
      </c>
      <c r="J173" s="61">
        <f>EFEITO!$J$173*EFEITO!$Y$74</f>
        <v>0</v>
      </c>
      <c r="K173" s="61">
        <f ca="1">EFEITO!$L$173*EFEITO!$Z$74</f>
        <v>22.401081571865497</v>
      </c>
      <c r="L173" s="61">
        <f>EFEITO!$N$173*EFEITO!$AA$74</f>
        <v>9.5503757031578278</v>
      </c>
      <c r="M173" s="61">
        <f>$J$173-EFEITO!$K$173*EFEITO!$Y$173</f>
        <v>0</v>
      </c>
      <c r="N173" s="61">
        <f ca="1">$K$173-EFEITO!$M$173*EFEITO!$Z$173</f>
        <v>1.3440648943119307</v>
      </c>
      <c r="O173" s="61">
        <f>$L$173-EFEITO!$O$173*EFEITO!$AA$173</f>
        <v>0.57302254218947013</v>
      </c>
      <c r="P173" s="45"/>
      <c r="Q173" s="45"/>
      <c r="R173" s="45"/>
      <c r="S173" s="45"/>
      <c r="T173" s="45"/>
      <c r="U173" s="45"/>
      <c r="V173" s="45"/>
      <c r="W173" s="45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41" t="s">
        <v>21</v>
      </c>
      <c r="B174" s="41" t="s">
        <v>42</v>
      </c>
      <c r="C174" s="41" t="s">
        <v>23</v>
      </c>
      <c r="D174" s="41" t="s">
        <v>43</v>
      </c>
      <c r="E174" s="41" t="s">
        <v>51</v>
      </c>
      <c r="F174" s="41" t="s">
        <v>52</v>
      </c>
      <c r="G174" s="41" t="s">
        <v>25</v>
      </c>
      <c r="H174" s="41" t="s">
        <v>25</v>
      </c>
      <c r="I174" s="60">
        <v>44652</v>
      </c>
      <c r="J174" s="61">
        <f>EFEITO!$J$174*EFEITO!$Y$74</f>
        <v>0</v>
      </c>
      <c r="K174" s="61">
        <f ca="1">EFEITO!$L$174*EFEITO!$Z$74</f>
        <v>385.29860303608649</v>
      </c>
      <c r="L174" s="61">
        <f>EFEITO!$N$174*EFEITO!$AA$74</f>
        <v>164.26646209431462</v>
      </c>
      <c r="M174" s="61">
        <f>$J$174-EFEITO!$K$174*EFEITO!$Y$174</f>
        <v>0</v>
      </c>
      <c r="N174" s="61">
        <f ca="1">$K$174-EFEITO!$M$174*EFEITO!$Z$174</f>
        <v>23.117916182165175</v>
      </c>
      <c r="O174" s="61">
        <f>$L$174-EFEITO!$O$174*EFEITO!$AA$174</f>
        <v>9.8559877256588777</v>
      </c>
      <c r="P174" s="45"/>
      <c r="Q174" s="45"/>
      <c r="R174" s="45"/>
      <c r="S174" s="45"/>
      <c r="T174" s="45"/>
      <c r="U174" s="45"/>
      <c r="V174" s="45"/>
      <c r="W174" s="45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41" t="s">
        <v>27</v>
      </c>
      <c r="B175" s="41" t="s">
        <v>42</v>
      </c>
      <c r="C175" s="41" t="s">
        <v>23</v>
      </c>
      <c r="D175" s="41" t="s">
        <v>43</v>
      </c>
      <c r="E175" s="41" t="s">
        <v>51</v>
      </c>
      <c r="F175" s="41" t="s">
        <v>52</v>
      </c>
      <c r="G175" s="41" t="s">
        <v>25</v>
      </c>
      <c r="H175" s="41" t="s">
        <v>25</v>
      </c>
      <c r="I175" s="60">
        <v>44652</v>
      </c>
      <c r="J175" s="61">
        <f>EFEITO!$J$175*EFEITO!$Y$74</f>
        <v>0</v>
      </c>
      <c r="K175" s="61">
        <f ca="1">EFEITO!$L$175*EFEITO!$Z$74</f>
        <v>-294.35021185431265</v>
      </c>
      <c r="L175" s="61">
        <f>EFEITO!$N$175*EFEITO!$AA$74</f>
        <v>-125.49193673949385</v>
      </c>
      <c r="M175" s="61">
        <f>$J$175-EFEITO!$K$175*EFEITO!$Y$175</f>
        <v>0</v>
      </c>
      <c r="N175" s="61">
        <f ca="1">$K$175-EFEITO!$M$175*EFEITO!$Z$175</f>
        <v>-17.661012711258763</v>
      </c>
      <c r="O175" s="61">
        <f>$L$175-EFEITO!$O$175*EFEITO!$AA$175</f>
        <v>-7.529516204369628</v>
      </c>
      <c r="P175" s="45"/>
      <c r="Q175" s="45"/>
      <c r="R175" s="45"/>
      <c r="S175" s="45"/>
      <c r="T175" s="45"/>
      <c r="U175" s="45"/>
      <c r="V175" s="45"/>
      <c r="W175" s="45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41" t="s">
        <v>21</v>
      </c>
      <c r="B176" s="41" t="s">
        <v>42</v>
      </c>
      <c r="C176" s="41" t="s">
        <v>23</v>
      </c>
      <c r="D176" s="41" t="s">
        <v>43</v>
      </c>
      <c r="E176" s="41" t="s">
        <v>51</v>
      </c>
      <c r="F176" s="41" t="s">
        <v>52</v>
      </c>
      <c r="G176" s="41" t="s">
        <v>25</v>
      </c>
      <c r="H176" s="41" t="s">
        <v>25</v>
      </c>
      <c r="I176" s="60">
        <v>44682</v>
      </c>
      <c r="J176" s="61">
        <f>EFEITO!$J$176*EFEITO!$Y$74</f>
        <v>0</v>
      </c>
      <c r="K176" s="61">
        <f ca="1">EFEITO!$L$176*EFEITO!$Z$74</f>
        <v>259.85254623363971</v>
      </c>
      <c r="L176" s="61">
        <f>EFEITO!$N$176*EFEITO!$AA$74</f>
        <v>110.78435815663079</v>
      </c>
      <c r="M176" s="61">
        <f>$J$176-EFEITO!$K$176*EFEITO!$Y$176</f>
        <v>0</v>
      </c>
      <c r="N176" s="61">
        <f ca="1">$K$176-EFEITO!$M$176*EFEITO!$Z$176</f>
        <v>15.591152774018383</v>
      </c>
      <c r="O176" s="61">
        <f>$L$176-EFEITO!$O$176*EFEITO!$AA$176</f>
        <v>6.6470614893978563</v>
      </c>
      <c r="P176" s="45"/>
      <c r="Q176" s="45"/>
      <c r="R176" s="45"/>
      <c r="S176" s="45"/>
      <c r="T176" s="45"/>
      <c r="U176" s="45"/>
      <c r="V176" s="45"/>
      <c r="W176" s="45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41" t="s">
        <v>27</v>
      </c>
      <c r="B177" s="41" t="s">
        <v>42</v>
      </c>
      <c r="C177" s="41" t="s">
        <v>23</v>
      </c>
      <c r="D177" s="41" t="s">
        <v>43</v>
      </c>
      <c r="E177" s="41" t="s">
        <v>51</v>
      </c>
      <c r="F177" s="41" t="s">
        <v>52</v>
      </c>
      <c r="G177" s="41" t="s">
        <v>25</v>
      </c>
      <c r="H177" s="41" t="s">
        <v>25</v>
      </c>
      <c r="I177" s="60">
        <v>44682</v>
      </c>
      <c r="J177" s="61">
        <f>EFEITO!$J$177*EFEITO!$Y$74</f>
        <v>0</v>
      </c>
      <c r="K177" s="61">
        <f ca="1">EFEITO!$L$177*EFEITO!$Z$74</f>
        <v>-42.114033355107132</v>
      </c>
      <c r="L177" s="61">
        <f>EFEITO!$N$177*EFEITO!$AA$74</f>
        <v>-17.954706321936715</v>
      </c>
      <c r="M177" s="61">
        <f>$J$177-EFEITO!$K$177*EFEITO!$Y$177</f>
        <v>0</v>
      </c>
      <c r="N177" s="61">
        <f ca="1">$K$177-EFEITO!$M$177*EFEITO!$Z$177</f>
        <v>-2.5268420013064272</v>
      </c>
      <c r="O177" s="61">
        <f>$L$177-EFEITO!$O$177*EFEITO!$AA$177</f>
        <v>-1.0772823793162019</v>
      </c>
      <c r="P177" s="45"/>
      <c r="Q177" s="45"/>
      <c r="R177" s="45"/>
      <c r="S177" s="45"/>
      <c r="T177" s="45"/>
      <c r="U177" s="45"/>
      <c r="V177" s="45"/>
      <c r="W177" s="45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41" t="s">
        <v>21</v>
      </c>
      <c r="B178" s="41" t="s">
        <v>42</v>
      </c>
      <c r="C178" s="41" t="s">
        <v>23</v>
      </c>
      <c r="D178" s="41" t="s">
        <v>43</v>
      </c>
      <c r="E178" s="41" t="s">
        <v>51</v>
      </c>
      <c r="F178" s="41" t="s">
        <v>52</v>
      </c>
      <c r="G178" s="41" t="s">
        <v>25</v>
      </c>
      <c r="H178" s="41" t="s">
        <v>25</v>
      </c>
      <c r="I178" s="60">
        <v>44713</v>
      </c>
      <c r="J178" s="61">
        <f>EFEITO!$J$178*EFEITO!$Y$74</f>
        <v>0</v>
      </c>
      <c r="K178" s="61">
        <f ca="1">EFEITO!$L$178*EFEITO!$Z$74</f>
        <v>751.78029755180603</v>
      </c>
      <c r="L178" s="61">
        <f>EFEITO!$N$178*EFEITO!$AA$74</f>
        <v>320.51060859797667</v>
      </c>
      <c r="M178" s="61">
        <f>$J$178-EFEITO!$K$178*EFEITO!$Y$178</f>
        <v>0</v>
      </c>
      <c r="N178" s="61">
        <f ca="1">$K$178-EFEITO!$M$178*EFEITO!$Z$178</f>
        <v>45.106817853108396</v>
      </c>
      <c r="O178" s="61">
        <f>$L$178-EFEITO!$O$178*EFEITO!$AA$178</f>
        <v>19.230636515878587</v>
      </c>
      <c r="P178" s="45"/>
      <c r="Q178" s="45"/>
      <c r="R178" s="45"/>
      <c r="S178" s="45"/>
      <c r="T178" s="45"/>
      <c r="U178" s="45"/>
      <c r="V178" s="45"/>
      <c r="W178" s="45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41" t="s">
        <v>28</v>
      </c>
      <c r="B179" s="41" t="s">
        <v>42</v>
      </c>
      <c r="C179" s="41" t="s">
        <v>23</v>
      </c>
      <c r="D179" s="41" t="s">
        <v>43</v>
      </c>
      <c r="E179" s="41" t="s">
        <v>51</v>
      </c>
      <c r="F179" s="41" t="s">
        <v>52</v>
      </c>
      <c r="G179" s="41" t="s">
        <v>25</v>
      </c>
      <c r="H179" s="41" t="s">
        <v>25</v>
      </c>
      <c r="I179" s="60">
        <v>44713</v>
      </c>
      <c r="J179" s="61">
        <f>EFEITO!$J$179*EFEITO!$Y$74</f>
        <v>0</v>
      </c>
      <c r="K179" s="61">
        <f ca="1">EFEITO!$L$179*EFEITO!$Z$74</f>
        <v>32.705579094923621</v>
      </c>
      <c r="L179" s="61">
        <f>EFEITO!$N$179*EFEITO!$AA$74</f>
        <v>13.943548526610428</v>
      </c>
      <c r="M179" s="61">
        <f>$J$179-EFEITO!$K$179*EFEITO!$Y$179</f>
        <v>0</v>
      </c>
      <c r="N179" s="61">
        <f ca="1">$K$179-EFEITO!$M$179*EFEITO!$Z$179</f>
        <v>1.9623347456954185</v>
      </c>
      <c r="O179" s="61">
        <f>$L$179-EFEITO!$O$179*EFEITO!$AA$179</f>
        <v>0.83661291159662632</v>
      </c>
      <c r="P179" s="45"/>
      <c r="Q179" s="45"/>
      <c r="R179" s="45"/>
      <c r="S179" s="45"/>
      <c r="T179" s="45"/>
      <c r="U179" s="45"/>
      <c r="V179" s="45"/>
      <c r="W179" s="45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41" t="s">
        <v>21</v>
      </c>
      <c r="B180" s="41" t="s">
        <v>42</v>
      </c>
      <c r="C180" s="41" t="s">
        <v>23</v>
      </c>
      <c r="D180" s="41" t="s">
        <v>43</v>
      </c>
      <c r="E180" s="41" t="s">
        <v>51</v>
      </c>
      <c r="F180" s="41" t="s">
        <v>52</v>
      </c>
      <c r="G180" s="41" t="s">
        <v>25</v>
      </c>
      <c r="H180" s="41" t="s">
        <v>25</v>
      </c>
      <c r="I180" s="60">
        <v>44743</v>
      </c>
      <c r="J180" s="61">
        <f>EFEITO!$J$180*EFEITO!$Y$74</f>
        <v>0</v>
      </c>
      <c r="K180" s="61">
        <f ca="1">EFEITO!$L$180*EFEITO!$Z$74</f>
        <v>728.03515108562863</v>
      </c>
      <c r="L180" s="61">
        <f>EFEITO!$N$180*EFEITO!$AA$74</f>
        <v>310.38721035262938</v>
      </c>
      <c r="M180" s="61">
        <f>$J$180-EFEITO!$K$180*EFEITO!$Y$180</f>
        <v>0</v>
      </c>
      <c r="N180" s="61">
        <f ca="1">$K$180-EFEITO!$M$180*EFEITO!$Z$180</f>
        <v>43.682109065137752</v>
      </c>
      <c r="O180" s="61">
        <f>$L$180-EFEITO!$O$180*EFEITO!$AA$180</f>
        <v>18.62323262115774</v>
      </c>
      <c r="P180" s="45"/>
      <c r="Q180" s="45"/>
      <c r="R180" s="45"/>
      <c r="S180" s="45"/>
      <c r="T180" s="45"/>
      <c r="U180" s="45"/>
      <c r="V180" s="45"/>
      <c r="W180" s="45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41" t="s">
        <v>55</v>
      </c>
      <c r="B181" s="41" t="s">
        <v>42</v>
      </c>
      <c r="C181" s="41" t="s">
        <v>23</v>
      </c>
      <c r="D181" s="41" t="s">
        <v>43</v>
      </c>
      <c r="E181" s="41" t="s">
        <v>51</v>
      </c>
      <c r="F181" s="41" t="s">
        <v>52</v>
      </c>
      <c r="G181" s="41" t="s">
        <v>25</v>
      </c>
      <c r="H181" s="41" t="s">
        <v>25</v>
      </c>
      <c r="I181" s="60">
        <v>44774</v>
      </c>
      <c r="J181" s="61">
        <f>EFEITO!$J$181*EFEITO!$Y$74</f>
        <v>0</v>
      </c>
      <c r="K181" s="61">
        <f ca="1">EFEITO!$L$181*EFEITO!$Z$74</f>
        <v>728.03515108562863</v>
      </c>
      <c r="L181" s="61">
        <f>EFEITO!$N$181*EFEITO!$AA$74</f>
        <v>310.38721035262938</v>
      </c>
      <c r="M181" s="61">
        <f>$J$181-EFEITO!$K$181*EFEITO!$Y$181</f>
        <v>0</v>
      </c>
      <c r="N181" s="61">
        <f ca="1">$K$181-EFEITO!$M$181*EFEITO!$Z$181</f>
        <v>43.682109065137752</v>
      </c>
      <c r="O181" s="61">
        <f>$L$181-EFEITO!$O$181*EFEITO!$AA$181</f>
        <v>18.62323262115774</v>
      </c>
      <c r="P181" s="45"/>
      <c r="Q181" s="45"/>
      <c r="R181" s="45"/>
      <c r="S181" s="45"/>
      <c r="T181" s="45"/>
      <c r="U181" s="45"/>
      <c r="V181" s="45"/>
      <c r="W181" s="45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41" t="s">
        <v>21</v>
      </c>
      <c r="B182" s="41" t="s">
        <v>42</v>
      </c>
      <c r="C182" s="41" t="s">
        <v>23</v>
      </c>
      <c r="D182" s="41" t="s">
        <v>43</v>
      </c>
      <c r="E182" s="41" t="s">
        <v>51</v>
      </c>
      <c r="F182" s="41" t="s">
        <v>53</v>
      </c>
      <c r="G182" s="41" t="s">
        <v>25</v>
      </c>
      <c r="H182" s="41" t="s">
        <v>25</v>
      </c>
      <c r="I182" s="60">
        <v>44440</v>
      </c>
      <c r="J182" s="61">
        <f>EFEITO!$J$182*EFEITO!$Y$74</f>
        <v>0</v>
      </c>
      <c r="K182" s="61">
        <f ca="1">EFEITO!$L$182*EFEITO!$Z$74</f>
        <v>2822.0882564236153</v>
      </c>
      <c r="L182" s="61">
        <f>EFEITO!$N$182*EFEITO!$AA$74</f>
        <v>1203.1563310838233</v>
      </c>
      <c r="M182" s="61">
        <f>$J$182-EFEITO!$K$182*EFEITO!$Y$182</f>
        <v>0</v>
      </c>
      <c r="N182" s="61">
        <f ca="1">$K$182-EFEITO!$M$182*EFEITO!$Z$182</f>
        <v>1760.983072008336</v>
      </c>
      <c r="O182" s="61">
        <f>$L$182-EFEITO!$O$182*EFEITO!$AA$182</f>
        <v>750.76955059630586</v>
      </c>
      <c r="P182" s="45"/>
      <c r="Q182" s="45"/>
      <c r="R182" s="45"/>
      <c r="S182" s="45"/>
      <c r="T182" s="45"/>
      <c r="U182" s="45"/>
      <c r="V182" s="45"/>
      <c r="W182" s="45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41" t="s">
        <v>21</v>
      </c>
      <c r="B183" s="41" t="s">
        <v>42</v>
      </c>
      <c r="C183" s="41" t="s">
        <v>23</v>
      </c>
      <c r="D183" s="41" t="s">
        <v>43</v>
      </c>
      <c r="E183" s="41" t="s">
        <v>51</v>
      </c>
      <c r="F183" s="41" t="s">
        <v>53</v>
      </c>
      <c r="G183" s="41" t="s">
        <v>25</v>
      </c>
      <c r="H183" s="41" t="s">
        <v>25</v>
      </c>
      <c r="I183" s="60">
        <v>44470</v>
      </c>
      <c r="J183" s="61">
        <f>EFEITO!$J$183*EFEITO!$Y$74</f>
        <v>0</v>
      </c>
      <c r="K183" s="61">
        <f ca="1">EFEITO!$L$183*EFEITO!$Z$74</f>
        <v>1900.0597389256311</v>
      </c>
      <c r="L183" s="61">
        <f>EFEITO!$N$183*EFEITO!$AA$74</f>
        <v>810.06286714184682</v>
      </c>
      <c r="M183" s="61">
        <f>$J$183-EFEITO!$K$183*EFEITO!$Y$183</f>
        <v>0</v>
      </c>
      <c r="N183" s="61">
        <f ca="1">$K$183-EFEITO!$M$183*EFEITO!$Z$183</f>
        <v>1185.6372770895937</v>
      </c>
      <c r="O183" s="61">
        <f>$L$183-EFEITO!$O$183*EFEITO!$AA$183</f>
        <v>505.47922909651243</v>
      </c>
      <c r="P183" s="45"/>
      <c r="Q183" s="45"/>
      <c r="R183" s="45"/>
      <c r="S183" s="45"/>
      <c r="T183" s="45"/>
      <c r="U183" s="45"/>
      <c r="V183" s="45"/>
      <c r="W183" s="45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41" t="s">
        <v>21</v>
      </c>
      <c r="B184" s="41" t="s">
        <v>42</v>
      </c>
      <c r="C184" s="41" t="s">
        <v>23</v>
      </c>
      <c r="D184" s="41" t="s">
        <v>43</v>
      </c>
      <c r="E184" s="41" t="s">
        <v>51</v>
      </c>
      <c r="F184" s="41" t="s">
        <v>53</v>
      </c>
      <c r="G184" s="41" t="s">
        <v>25</v>
      </c>
      <c r="H184" s="41" t="s">
        <v>25</v>
      </c>
      <c r="I184" s="60">
        <v>44501</v>
      </c>
      <c r="J184" s="61">
        <f>EFEITO!$J$184*EFEITO!$Y$74</f>
        <v>0</v>
      </c>
      <c r="K184" s="61">
        <f ca="1">EFEITO!$L$184*EFEITO!$Z$74</f>
        <v>6605.630933911697</v>
      </c>
      <c r="L184" s="61">
        <f>EFEITO!$N$184*EFEITO!$AA$74</f>
        <v>2816.2147873471799</v>
      </c>
      <c r="M184" s="61">
        <f>$J$184-EFEITO!$K$184*EFEITO!$Y$184</f>
        <v>0</v>
      </c>
      <c r="N184" s="61">
        <f ca="1">$K$184-EFEITO!$M$184*EFEITO!$Z$184</f>
        <v>4121.9137027608995</v>
      </c>
      <c r="O184" s="61">
        <f>$L$184-EFEITO!$O$184*EFEITO!$AA$184</f>
        <v>1757.3180273046403</v>
      </c>
      <c r="P184" s="45"/>
      <c r="Q184" s="45"/>
      <c r="R184" s="45"/>
      <c r="S184" s="45"/>
      <c r="T184" s="45"/>
      <c r="U184" s="45"/>
      <c r="V184" s="45"/>
      <c r="W184" s="45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41" t="s">
        <v>21</v>
      </c>
      <c r="B185" s="41" t="s">
        <v>42</v>
      </c>
      <c r="C185" s="41" t="s">
        <v>23</v>
      </c>
      <c r="D185" s="41" t="s">
        <v>43</v>
      </c>
      <c r="E185" s="41" t="s">
        <v>51</v>
      </c>
      <c r="F185" s="41" t="s">
        <v>53</v>
      </c>
      <c r="G185" s="41" t="s">
        <v>25</v>
      </c>
      <c r="H185" s="41" t="s">
        <v>25</v>
      </c>
      <c r="I185" s="60">
        <v>44531</v>
      </c>
      <c r="J185" s="61">
        <f>EFEITO!$J$185*EFEITO!$Y$74</f>
        <v>0</v>
      </c>
      <c r="K185" s="61">
        <f ca="1">EFEITO!$L$185*EFEITO!$Z$74</f>
        <v>3150.9361338986009</v>
      </c>
      <c r="L185" s="61">
        <f>EFEITO!$N$185*EFEITO!$AA$74</f>
        <v>1343.35584640618</v>
      </c>
      <c r="M185" s="61">
        <f>$J$185-EFEITO!$K$185*EFEITO!$Y$185</f>
        <v>0</v>
      </c>
      <c r="N185" s="61">
        <f ca="1">$K$185-EFEITO!$M$185*EFEITO!$Z$185</f>
        <v>1966.1841475527272</v>
      </c>
      <c r="O185" s="61">
        <f>$L$185-EFEITO!$O$185*EFEITO!$AA$185</f>
        <v>838.25404815745628</v>
      </c>
      <c r="P185" s="45"/>
      <c r="Q185" s="45"/>
      <c r="R185" s="45"/>
      <c r="S185" s="45"/>
      <c r="T185" s="45"/>
      <c r="U185" s="45"/>
      <c r="V185" s="45"/>
      <c r="W185" s="45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41" t="s">
        <v>28</v>
      </c>
      <c r="B186" s="41" t="s">
        <v>42</v>
      </c>
      <c r="C186" s="41" t="s">
        <v>23</v>
      </c>
      <c r="D186" s="41" t="s">
        <v>43</v>
      </c>
      <c r="E186" s="41" t="s">
        <v>51</v>
      </c>
      <c r="F186" s="41" t="s">
        <v>53</v>
      </c>
      <c r="G186" s="41" t="s">
        <v>25</v>
      </c>
      <c r="H186" s="41" t="s">
        <v>25</v>
      </c>
      <c r="I186" s="60">
        <v>44531</v>
      </c>
      <c r="J186" s="61">
        <f>EFEITO!$J$186*EFEITO!$Y$74</f>
        <v>0</v>
      </c>
      <c r="K186" s="61">
        <f ca="1">EFEITO!$L$186*EFEITO!$Z$74</f>
        <v>50.178422720978709</v>
      </c>
      <c r="L186" s="61">
        <f>EFEITO!$N$186*EFEITO!$AA$74</f>
        <v>21.392841575073533</v>
      </c>
      <c r="M186" s="61">
        <f>$J$186-EFEITO!$K$186*EFEITO!$Y$186</f>
        <v>0</v>
      </c>
      <c r="N186" s="61">
        <f ca="1">$K$186-EFEITO!$M$186*EFEITO!$Z$186</f>
        <v>31.311335777890715</v>
      </c>
      <c r="O186" s="61">
        <f>$L$186-EFEITO!$O$186*EFEITO!$AA$186</f>
        <v>13.349133142845885</v>
      </c>
      <c r="P186" s="45"/>
      <c r="Q186" s="45"/>
      <c r="R186" s="45"/>
      <c r="S186" s="45"/>
      <c r="T186" s="45"/>
      <c r="U186" s="45"/>
      <c r="V186" s="45"/>
      <c r="W186" s="45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41" t="s">
        <v>21</v>
      </c>
      <c r="B187" s="41" t="s">
        <v>42</v>
      </c>
      <c r="C187" s="41" t="s">
        <v>23</v>
      </c>
      <c r="D187" s="41" t="s">
        <v>43</v>
      </c>
      <c r="E187" s="41" t="s">
        <v>51</v>
      </c>
      <c r="F187" s="41" t="s">
        <v>53</v>
      </c>
      <c r="G187" s="41" t="s">
        <v>25</v>
      </c>
      <c r="H187" s="41" t="s">
        <v>25</v>
      </c>
      <c r="I187" s="60">
        <v>44562</v>
      </c>
      <c r="J187" s="61">
        <f>EFEITO!$J$187*EFEITO!$Y$74</f>
        <v>0</v>
      </c>
      <c r="K187" s="61">
        <f ca="1">EFEITO!$L$187*EFEITO!$Z$74</f>
        <v>7429.0946924934733</v>
      </c>
      <c r="L187" s="61">
        <f>EFEITO!$N$187*EFEITO!$AA$74</f>
        <v>3167.2865981952618</v>
      </c>
      <c r="M187" s="61">
        <f>$J$187-EFEITO!$K$187*EFEITO!$Y$187</f>
        <v>0</v>
      </c>
      <c r="N187" s="61">
        <f ca="1">$K$187-EFEITO!$M$187*EFEITO!$Z$187</f>
        <v>4635.7550881159277</v>
      </c>
      <c r="O187" s="61">
        <f>$L$187-EFEITO!$O$187*EFEITO!$AA$187</f>
        <v>1976.3868372738434</v>
      </c>
      <c r="P187" s="45"/>
      <c r="Q187" s="45"/>
      <c r="R187" s="45"/>
      <c r="S187" s="45"/>
      <c r="T187" s="45"/>
      <c r="U187" s="45"/>
      <c r="V187" s="45"/>
      <c r="W187" s="45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41" t="s">
        <v>27</v>
      </c>
      <c r="B188" s="41" t="s">
        <v>42</v>
      </c>
      <c r="C188" s="41" t="s">
        <v>23</v>
      </c>
      <c r="D188" s="41" t="s">
        <v>43</v>
      </c>
      <c r="E188" s="41" t="s">
        <v>51</v>
      </c>
      <c r="F188" s="41" t="s">
        <v>53</v>
      </c>
      <c r="G188" s="41" t="s">
        <v>25</v>
      </c>
      <c r="H188" s="41" t="s">
        <v>25</v>
      </c>
      <c r="I188" s="60">
        <v>44562</v>
      </c>
      <c r="J188" s="61">
        <f>EFEITO!$J$188*EFEITO!$Y$74</f>
        <v>0</v>
      </c>
      <c r="K188" s="61">
        <f ca="1">EFEITO!$L$188*EFEITO!$Z$74</f>
        <v>-504.02433536697367</v>
      </c>
      <c r="L188" s="61">
        <f>EFEITO!$N$188*EFEITO!$AA$74</f>
        <v>-214.88345332105112</v>
      </c>
      <c r="M188" s="61">
        <f>$J$188-EFEITO!$K$188*EFEITO!$Y$188</f>
        <v>0</v>
      </c>
      <c r="N188" s="61">
        <f ca="1">$K$188-EFEITO!$M$188*EFEITO!$Z$188</f>
        <v>-314.51118526899154</v>
      </c>
      <c r="O188" s="61">
        <f>$L$188-EFEITO!$O$188*EFEITO!$AA$188</f>
        <v>-134.08727487233591</v>
      </c>
      <c r="P188" s="45"/>
      <c r="Q188" s="45"/>
      <c r="R188" s="45"/>
      <c r="S188" s="45"/>
      <c r="T188" s="45"/>
      <c r="U188" s="45"/>
      <c r="V188" s="45"/>
      <c r="W188" s="45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41" t="s">
        <v>28</v>
      </c>
      <c r="B189" s="41" t="s">
        <v>42</v>
      </c>
      <c r="C189" s="41" t="s">
        <v>23</v>
      </c>
      <c r="D189" s="41" t="s">
        <v>43</v>
      </c>
      <c r="E189" s="41" t="s">
        <v>51</v>
      </c>
      <c r="F189" s="41" t="s">
        <v>53</v>
      </c>
      <c r="G189" s="41" t="s">
        <v>25</v>
      </c>
      <c r="H189" s="41" t="s">
        <v>25</v>
      </c>
      <c r="I189" s="60">
        <v>44562</v>
      </c>
      <c r="J189" s="61">
        <f>EFEITO!$J$189*EFEITO!$Y$74</f>
        <v>0</v>
      </c>
      <c r="K189" s="61">
        <f ca="1">EFEITO!$L$189*EFEITO!$Z$74</f>
        <v>109.76529970214092</v>
      </c>
      <c r="L189" s="61">
        <f>EFEITO!$N$189*EFEITO!$AA$74</f>
        <v>46.796840945473356</v>
      </c>
      <c r="M189" s="61">
        <f>$J$189-EFEITO!$K$189*EFEITO!$Y$189</f>
        <v>0</v>
      </c>
      <c r="N189" s="61">
        <f ca="1">$K$189-EFEITO!$M$189*EFEITO!$Z$189</f>
        <v>68.493547014135942</v>
      </c>
      <c r="O189" s="61">
        <f>$L$189-EFEITO!$O$189*EFEITO!$AA$189</f>
        <v>29.201228749975375</v>
      </c>
      <c r="P189" s="45"/>
      <c r="Q189" s="45"/>
      <c r="R189" s="45"/>
      <c r="S189" s="45"/>
      <c r="T189" s="45"/>
      <c r="U189" s="45"/>
      <c r="V189" s="45"/>
      <c r="W189" s="45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41" t="s">
        <v>21</v>
      </c>
      <c r="B190" s="41" t="s">
        <v>42</v>
      </c>
      <c r="C190" s="41" t="s">
        <v>23</v>
      </c>
      <c r="D190" s="41" t="s">
        <v>43</v>
      </c>
      <c r="E190" s="41" t="s">
        <v>51</v>
      </c>
      <c r="F190" s="41" t="s">
        <v>53</v>
      </c>
      <c r="G190" s="41" t="s">
        <v>25</v>
      </c>
      <c r="H190" s="41" t="s">
        <v>25</v>
      </c>
      <c r="I190" s="60">
        <v>44593</v>
      </c>
      <c r="J190" s="61">
        <f>EFEITO!$J$190*EFEITO!$Y$74</f>
        <v>0</v>
      </c>
      <c r="K190" s="61">
        <f ca="1">EFEITO!$L$190*EFEITO!$Z$74</f>
        <v>3509.3534390484488</v>
      </c>
      <c r="L190" s="61">
        <f>EFEITO!$N$190*EFEITO!$AA$74</f>
        <v>1496.1618576567053</v>
      </c>
      <c r="M190" s="61">
        <f>$J$190-EFEITO!$K$190*EFEITO!$Y$190</f>
        <v>0</v>
      </c>
      <c r="N190" s="61">
        <f ca="1">$K$190-EFEITO!$M$190*EFEITO!$Z$190</f>
        <v>2189.8365459662318</v>
      </c>
      <c r="O190" s="61">
        <f>$L$190-EFEITO!$O$190*EFEITO!$AA$190</f>
        <v>933.60499917778407</v>
      </c>
      <c r="P190" s="45"/>
      <c r="Q190" s="45"/>
      <c r="R190" s="45"/>
      <c r="S190" s="45"/>
      <c r="T190" s="45"/>
      <c r="U190" s="45"/>
      <c r="V190" s="45"/>
      <c r="W190" s="45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41" t="s">
        <v>28</v>
      </c>
      <c r="B191" s="41" t="s">
        <v>42</v>
      </c>
      <c r="C191" s="41" t="s">
        <v>23</v>
      </c>
      <c r="D191" s="41" t="s">
        <v>43</v>
      </c>
      <c r="E191" s="41" t="s">
        <v>51</v>
      </c>
      <c r="F191" s="41" t="s">
        <v>53</v>
      </c>
      <c r="G191" s="41" t="s">
        <v>25</v>
      </c>
      <c r="H191" s="41" t="s">
        <v>25</v>
      </c>
      <c r="I191" s="60">
        <v>44593</v>
      </c>
      <c r="J191" s="61">
        <f>EFEITO!$J$191*EFEITO!$Y$74</f>
        <v>0</v>
      </c>
      <c r="K191" s="61">
        <f ca="1">EFEITO!$L$191*EFEITO!$Z$74</f>
        <v>68.099287978471111</v>
      </c>
      <c r="L191" s="61">
        <f>EFEITO!$N$191*EFEITO!$AA$74</f>
        <v>29.033142137599796</v>
      </c>
      <c r="M191" s="61">
        <f>$J$191-EFEITO!$K$191*EFEITO!$Y$191</f>
        <v>0</v>
      </c>
      <c r="N191" s="61">
        <f ca="1">$K$191-EFEITO!$M$191*EFEITO!$Z$191</f>
        <v>42.493955698565976</v>
      </c>
      <c r="O191" s="61">
        <f>$L$191-EFEITO!$O$191*EFEITO!$AA$191</f>
        <v>18.116680693862271</v>
      </c>
      <c r="P191" s="45"/>
      <c r="Q191" s="45"/>
      <c r="R191" s="45"/>
      <c r="S191" s="45"/>
      <c r="T191" s="45"/>
      <c r="U191" s="45"/>
      <c r="V191" s="45"/>
      <c r="W191" s="45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41" t="s">
        <v>21</v>
      </c>
      <c r="B192" s="41" t="s">
        <v>42</v>
      </c>
      <c r="C192" s="41" t="s">
        <v>23</v>
      </c>
      <c r="D192" s="41" t="s">
        <v>43</v>
      </c>
      <c r="E192" s="41" t="s">
        <v>51</v>
      </c>
      <c r="F192" s="41" t="s">
        <v>53</v>
      </c>
      <c r="G192" s="41" t="s">
        <v>25</v>
      </c>
      <c r="H192" s="41" t="s">
        <v>25</v>
      </c>
      <c r="I192" s="60">
        <v>44621</v>
      </c>
      <c r="J192" s="61">
        <f>EFEITO!$J$192*EFEITO!$Y$74</f>
        <v>0</v>
      </c>
      <c r="K192" s="61">
        <f ca="1">EFEITO!$L$192*EFEITO!$Z$74</f>
        <v>356.62521862409869</v>
      </c>
      <c r="L192" s="61">
        <f>EFEITO!$N$192*EFEITO!$AA$74</f>
        <v>152.04198119427261</v>
      </c>
      <c r="M192" s="61">
        <f>$J$192-EFEITO!$K$192*EFEITO!$Y$192</f>
        <v>0</v>
      </c>
      <c r="N192" s="61">
        <f ca="1">$K$192-EFEITO!$M$192*EFEITO!$Z$192</f>
        <v>222.53413642143758</v>
      </c>
      <c r="O192" s="61">
        <f>$L$192-EFEITO!$O$192*EFEITO!$AA$192</f>
        <v>94.874196265226104</v>
      </c>
      <c r="P192" s="45"/>
      <c r="Q192" s="45"/>
      <c r="R192" s="45"/>
      <c r="S192" s="45"/>
      <c r="T192" s="45"/>
      <c r="U192" s="45"/>
      <c r="V192" s="45"/>
      <c r="W192" s="45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41" t="s">
        <v>21</v>
      </c>
      <c r="B193" s="41" t="s">
        <v>42</v>
      </c>
      <c r="C193" s="41" t="s">
        <v>23</v>
      </c>
      <c r="D193" s="41" t="s">
        <v>43</v>
      </c>
      <c r="E193" s="41" t="s">
        <v>51</v>
      </c>
      <c r="F193" s="41" t="s">
        <v>53</v>
      </c>
      <c r="G193" s="41" t="s">
        <v>25</v>
      </c>
      <c r="H193" s="41" t="s">
        <v>25</v>
      </c>
      <c r="I193" s="60">
        <v>44652</v>
      </c>
      <c r="J193" s="61">
        <f>EFEITO!$J$193*EFEITO!$Y$74</f>
        <v>0</v>
      </c>
      <c r="K193" s="61">
        <f ca="1">EFEITO!$L$193*EFEITO!$Z$74</f>
        <v>293.45416859143802</v>
      </c>
      <c r="L193" s="61">
        <f>EFEITO!$N$193*EFEITO!$AA$74</f>
        <v>125.10992171136755</v>
      </c>
      <c r="M193" s="61">
        <f>$J$193-EFEITO!$K$193*EFEITO!$Y$193</f>
        <v>0</v>
      </c>
      <c r="N193" s="61">
        <f ca="1">$K$193-EFEITO!$M$193*EFEITO!$Z$193</f>
        <v>183.11540120105735</v>
      </c>
      <c r="O193" s="61">
        <f>$L$193-EFEITO!$O$193*EFEITO!$AA$193</f>
        <v>78.068591147893358</v>
      </c>
      <c r="P193" s="45"/>
      <c r="Q193" s="45"/>
      <c r="R193" s="45"/>
      <c r="S193" s="45"/>
      <c r="T193" s="45"/>
      <c r="U193" s="45"/>
      <c r="V193" s="45"/>
      <c r="W193" s="45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41" t="s">
        <v>21</v>
      </c>
      <c r="B194" s="41" t="s">
        <v>42</v>
      </c>
      <c r="C194" s="41" t="s">
        <v>23</v>
      </c>
      <c r="D194" s="41" t="s">
        <v>43</v>
      </c>
      <c r="E194" s="41" t="s">
        <v>51</v>
      </c>
      <c r="F194" s="41" t="s">
        <v>53</v>
      </c>
      <c r="G194" s="41" t="s">
        <v>25</v>
      </c>
      <c r="H194" s="41" t="s">
        <v>25</v>
      </c>
      <c r="I194" s="60">
        <v>44682</v>
      </c>
      <c r="J194" s="61">
        <f>EFEITO!$J$194*EFEITO!$Y$74</f>
        <v>0</v>
      </c>
      <c r="K194" s="61">
        <f ca="1">EFEITO!$L$194*EFEITO!$Z$74</f>
        <v>227.59498877015344</v>
      </c>
      <c r="L194" s="61">
        <f>EFEITO!$N$194*EFEITO!$AA$74</f>
        <v>97.031817144083533</v>
      </c>
      <c r="M194" s="61">
        <f>$J$194-EFEITO!$K$194*EFEITO!$Y$194</f>
        <v>0</v>
      </c>
      <c r="N194" s="61">
        <f ca="1">$K$194-EFEITO!$M$194*EFEITO!$Z$194</f>
        <v>142.01927299257574</v>
      </c>
      <c r="O194" s="61">
        <f>$L$194-EFEITO!$O$194*EFEITO!$AA$194</f>
        <v>60.547853897908134</v>
      </c>
      <c r="P194" s="45"/>
      <c r="Q194" s="45"/>
      <c r="R194" s="45"/>
      <c r="S194" s="45"/>
      <c r="T194" s="45"/>
      <c r="U194" s="45"/>
      <c r="V194" s="45"/>
      <c r="W194" s="45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41" t="s">
        <v>27</v>
      </c>
      <c r="B195" s="41" t="s">
        <v>42</v>
      </c>
      <c r="C195" s="41" t="s">
        <v>23</v>
      </c>
      <c r="D195" s="41" t="s">
        <v>43</v>
      </c>
      <c r="E195" s="41" t="s">
        <v>51</v>
      </c>
      <c r="F195" s="41" t="s">
        <v>53</v>
      </c>
      <c r="G195" s="41" t="s">
        <v>25</v>
      </c>
      <c r="H195" s="41" t="s">
        <v>25</v>
      </c>
      <c r="I195" s="60">
        <v>44682</v>
      </c>
      <c r="J195" s="61">
        <f>EFEITO!$J$195*EFEITO!$Y$74</f>
        <v>0</v>
      </c>
      <c r="K195" s="61">
        <f ca="1">EFEITO!$L$195*EFEITO!$Z$74</f>
        <v>12.544605680244677</v>
      </c>
      <c r="L195" s="61">
        <f>EFEITO!$N$195*EFEITO!$AA$74</f>
        <v>5.3482103937683831</v>
      </c>
      <c r="M195" s="61">
        <f>$J$195-EFEITO!$K$195*EFEITO!$Y$195</f>
        <v>0</v>
      </c>
      <c r="N195" s="61">
        <f ca="1">$K$195-EFEITO!$M$195*EFEITO!$Z$195</f>
        <v>7.8278339444726788</v>
      </c>
      <c r="O195" s="61">
        <f>$L$195-EFEITO!$O$195*EFEITO!$AA$195</f>
        <v>3.3372832857114711</v>
      </c>
      <c r="P195" s="45"/>
      <c r="Q195" s="45"/>
      <c r="R195" s="45"/>
      <c r="S195" s="45"/>
      <c r="T195" s="45"/>
      <c r="U195" s="45"/>
      <c r="V195" s="45"/>
      <c r="W195" s="45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41" t="s">
        <v>21</v>
      </c>
      <c r="B196" s="41" t="s">
        <v>42</v>
      </c>
      <c r="C196" s="41" t="s">
        <v>23</v>
      </c>
      <c r="D196" s="41" t="s">
        <v>43</v>
      </c>
      <c r="E196" s="41" t="s">
        <v>51</v>
      </c>
      <c r="F196" s="41" t="s">
        <v>53</v>
      </c>
      <c r="G196" s="41" t="s">
        <v>25</v>
      </c>
      <c r="H196" s="41" t="s">
        <v>25</v>
      </c>
      <c r="I196" s="60">
        <v>44713</v>
      </c>
      <c r="J196" s="61">
        <f>EFEITO!$J$196*EFEITO!$Y$74</f>
        <v>0</v>
      </c>
      <c r="K196" s="61">
        <f ca="1">EFEITO!$L$196*EFEITO!$Z$74</f>
        <v>745.05997308024644</v>
      </c>
      <c r="L196" s="61">
        <f>EFEITO!$N$196*EFEITO!$AA$74</f>
        <v>317.64549588702937</v>
      </c>
      <c r="M196" s="61">
        <f>$J$196-EFEITO!$K$196*EFEITO!$Y$196</f>
        <v>0</v>
      </c>
      <c r="N196" s="61">
        <f ca="1">$K$196-EFEITO!$M$196*EFEITO!$Z$196</f>
        <v>464.91742320207379</v>
      </c>
      <c r="O196" s="61">
        <f>$L$196-EFEITO!$O$196*EFEITO!$AA$196</f>
        <v>198.21078943350633</v>
      </c>
      <c r="P196" s="45"/>
      <c r="Q196" s="45"/>
      <c r="R196" s="45"/>
      <c r="S196" s="45"/>
      <c r="T196" s="45"/>
      <c r="U196" s="45"/>
      <c r="V196" s="45"/>
      <c r="W196" s="45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41" t="s">
        <v>21</v>
      </c>
      <c r="B197" s="41" t="s">
        <v>42</v>
      </c>
      <c r="C197" s="41" t="s">
        <v>23</v>
      </c>
      <c r="D197" s="41" t="s">
        <v>43</v>
      </c>
      <c r="E197" s="41" t="s">
        <v>51</v>
      </c>
      <c r="F197" s="41" t="s">
        <v>53</v>
      </c>
      <c r="G197" s="41" t="s">
        <v>25</v>
      </c>
      <c r="H197" s="41" t="s">
        <v>25</v>
      </c>
      <c r="I197" s="60">
        <v>44743</v>
      </c>
      <c r="J197" s="61">
        <f>EFEITO!$J$197*EFEITO!$Y$74</f>
        <v>0</v>
      </c>
      <c r="K197" s="61">
        <f ca="1">EFEITO!$L$197*EFEITO!$Z$74</f>
        <v>440.85328533431294</v>
      </c>
      <c r="L197" s="61">
        <f>EFEITO!$N$197*EFEITO!$AA$74</f>
        <v>187.95139383814603</v>
      </c>
      <c r="M197" s="61">
        <f>$J$197-EFEITO!$K$197*EFEITO!$Y$197</f>
        <v>0</v>
      </c>
      <c r="N197" s="61">
        <f ca="1">$K$197-EFEITO!$M$197*EFEITO!$Z$197</f>
        <v>275.09245004861128</v>
      </c>
      <c r="O197" s="61">
        <f>$L$197-EFEITO!$O$197*EFEITO!$AA$197</f>
        <v>117.28166975500312</v>
      </c>
      <c r="P197" s="45"/>
      <c r="Q197" s="45"/>
      <c r="R197" s="45"/>
      <c r="S197" s="45"/>
      <c r="T197" s="45"/>
      <c r="U197" s="45"/>
      <c r="V197" s="45"/>
      <c r="W197" s="45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41" t="s">
        <v>55</v>
      </c>
      <c r="B198" s="41" t="s">
        <v>42</v>
      </c>
      <c r="C198" s="41" t="s">
        <v>23</v>
      </c>
      <c r="D198" s="41" t="s">
        <v>43</v>
      </c>
      <c r="E198" s="41" t="s">
        <v>51</v>
      </c>
      <c r="F198" s="41" t="s">
        <v>53</v>
      </c>
      <c r="G198" s="41" t="s">
        <v>25</v>
      </c>
      <c r="H198" s="41" t="s">
        <v>25</v>
      </c>
      <c r="I198" s="60">
        <v>44774</v>
      </c>
      <c r="J198" s="61">
        <f>EFEITO!$J$198*EFEITO!$Y$74</f>
        <v>0</v>
      </c>
      <c r="K198" s="61">
        <f ca="1">EFEITO!$L$198*EFEITO!$Z$74</f>
        <v>440.85328533431294</v>
      </c>
      <c r="L198" s="61">
        <f>EFEITO!$N$198*EFEITO!$AA$74</f>
        <v>187.95139383814603</v>
      </c>
      <c r="M198" s="61">
        <f>$J$198-EFEITO!$K$198*EFEITO!$Y$198</f>
        <v>0</v>
      </c>
      <c r="N198" s="61">
        <f ca="1">$K$198-EFEITO!$M$198*EFEITO!$Z$198</f>
        <v>275.09245004861128</v>
      </c>
      <c r="O198" s="61">
        <f>$L$198-EFEITO!$O$198*EFEITO!$AA$198</f>
        <v>117.28166975500312</v>
      </c>
      <c r="P198" s="45"/>
      <c r="Q198" s="45"/>
      <c r="R198" s="45"/>
      <c r="S198" s="45"/>
      <c r="T198" s="45"/>
      <c r="U198" s="45"/>
      <c r="V198" s="45"/>
      <c r="W198" s="45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41" t="s">
        <v>21</v>
      </c>
      <c r="B199" s="41" t="s">
        <v>42</v>
      </c>
      <c r="C199" s="41" t="s">
        <v>23</v>
      </c>
      <c r="D199" s="41" t="s">
        <v>43</v>
      </c>
      <c r="E199" s="41" t="s">
        <v>54</v>
      </c>
      <c r="F199" s="41" t="s">
        <v>52</v>
      </c>
      <c r="G199" s="41" t="s">
        <v>25</v>
      </c>
      <c r="H199" s="41" t="s">
        <v>25</v>
      </c>
      <c r="I199" s="60">
        <v>44440</v>
      </c>
      <c r="J199" s="61">
        <f>EFEITO!$J$199*EFEITO!$Y$74</f>
        <v>0</v>
      </c>
      <c r="K199" s="61">
        <f ca="1">EFEITO!$L$199*EFEITO!$Z$74</f>
        <v>109.31727807070361</v>
      </c>
      <c r="L199" s="61">
        <f>EFEITO!$N$199*EFEITO!$AA$74</f>
        <v>46.605833431410197</v>
      </c>
      <c r="M199" s="61">
        <f>$J$199-EFEITO!$K$199*EFEITO!$Y$199</f>
        <v>0</v>
      </c>
      <c r="N199" s="61">
        <f ca="1">$K$199-EFEITO!$M$199*EFEITO!$Z$199</f>
        <v>6.5590366842422156</v>
      </c>
      <c r="O199" s="61">
        <f>$L$199-EFEITO!$O$199*EFEITO!$AA$199</f>
        <v>2.7963500058846122</v>
      </c>
      <c r="P199" s="45"/>
      <c r="Q199" s="45"/>
      <c r="R199" s="45"/>
      <c r="S199" s="45"/>
      <c r="T199" s="45"/>
      <c r="U199" s="45"/>
      <c r="V199" s="45"/>
      <c r="W199" s="45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41" t="s">
        <v>21</v>
      </c>
      <c r="B200" s="41" t="s">
        <v>42</v>
      </c>
      <c r="C200" s="41" t="s">
        <v>23</v>
      </c>
      <c r="D200" s="41" t="s">
        <v>43</v>
      </c>
      <c r="E200" s="41" t="s">
        <v>54</v>
      </c>
      <c r="F200" s="41" t="s">
        <v>52</v>
      </c>
      <c r="G200" s="41" t="s">
        <v>25</v>
      </c>
      <c r="H200" s="41" t="s">
        <v>25</v>
      </c>
      <c r="I200" s="60">
        <v>44470</v>
      </c>
      <c r="J200" s="61">
        <f>EFEITO!$J$200*EFEITO!$Y$74</f>
        <v>0</v>
      </c>
      <c r="K200" s="61">
        <f ca="1">EFEITO!$L$200*EFEITO!$Z$74</f>
        <v>80.195872027278469</v>
      </c>
      <c r="L200" s="61">
        <f>EFEITO!$N$200*EFEITO!$AA$74</f>
        <v>34.19034501730502</v>
      </c>
      <c r="M200" s="61">
        <f>$J$200-EFEITO!$K$200*EFEITO!$Y$200</f>
        <v>0</v>
      </c>
      <c r="N200" s="61">
        <f ca="1">$K$200-EFEITO!$M$200*EFEITO!$Z$200</f>
        <v>4.8117523216367033</v>
      </c>
      <c r="O200" s="61">
        <f>$L$200-EFEITO!$O$200*EFEITO!$AA$200</f>
        <v>2.0514207010383032</v>
      </c>
      <c r="P200" s="45"/>
      <c r="Q200" s="45"/>
      <c r="R200" s="45"/>
      <c r="S200" s="45"/>
      <c r="T200" s="45"/>
      <c r="U200" s="45"/>
      <c r="V200" s="45"/>
      <c r="W200" s="45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41" t="s">
        <v>21</v>
      </c>
      <c r="B201" s="41" t="s">
        <v>42</v>
      </c>
      <c r="C201" s="41" t="s">
        <v>23</v>
      </c>
      <c r="D201" s="41" t="s">
        <v>43</v>
      </c>
      <c r="E201" s="41" t="s">
        <v>54</v>
      </c>
      <c r="F201" s="41" t="s">
        <v>52</v>
      </c>
      <c r="G201" s="41" t="s">
        <v>25</v>
      </c>
      <c r="H201" s="41" t="s">
        <v>25</v>
      </c>
      <c r="I201" s="60">
        <v>44501</v>
      </c>
      <c r="J201" s="61">
        <f>EFEITO!$J$201*EFEITO!$Y$74</f>
        <v>0</v>
      </c>
      <c r="K201" s="61">
        <f ca="1">EFEITO!$L$201*EFEITO!$Z$74</f>
        <v>212.81027493272219</v>
      </c>
      <c r="L201" s="61">
        <f>EFEITO!$N$201*EFEITO!$AA$74</f>
        <v>90.728569179999354</v>
      </c>
      <c r="M201" s="61">
        <f>$J$201-EFEITO!$K$201*EFEITO!$Y$201</f>
        <v>0</v>
      </c>
      <c r="N201" s="61">
        <f ca="1">$K$201-EFEITO!$M$201*EFEITO!$Z$201</f>
        <v>12.768616495963329</v>
      </c>
      <c r="O201" s="61">
        <f>$L$201-EFEITO!$O$201*EFEITO!$AA$201</f>
        <v>5.4437141507999627</v>
      </c>
      <c r="P201" s="45"/>
      <c r="Q201" s="45"/>
      <c r="R201" s="45"/>
      <c r="S201" s="45"/>
      <c r="T201" s="45"/>
      <c r="U201" s="45"/>
      <c r="V201" s="45"/>
      <c r="W201" s="45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41" t="s">
        <v>21</v>
      </c>
      <c r="B202" s="41" t="s">
        <v>42</v>
      </c>
      <c r="C202" s="41" t="s">
        <v>23</v>
      </c>
      <c r="D202" s="41" t="s">
        <v>43</v>
      </c>
      <c r="E202" s="41" t="s">
        <v>54</v>
      </c>
      <c r="F202" s="41" t="s">
        <v>52</v>
      </c>
      <c r="G202" s="41" t="s">
        <v>25</v>
      </c>
      <c r="H202" s="41" t="s">
        <v>25</v>
      </c>
      <c r="I202" s="60">
        <v>44531</v>
      </c>
      <c r="J202" s="61">
        <f>EFEITO!$J$202*EFEITO!$Y$74</f>
        <v>0</v>
      </c>
      <c r="K202" s="61">
        <f ca="1">EFEITO!$L$202*EFEITO!$Z$74</f>
        <v>158.1516358973704</v>
      </c>
      <c r="L202" s="61">
        <f>EFEITO!$N$202*EFEITO!$AA$74</f>
        <v>67.425652464294259</v>
      </c>
      <c r="M202" s="61">
        <f>$J$202-EFEITO!$K$202*EFEITO!$Y$202</f>
        <v>0</v>
      </c>
      <c r="N202" s="61">
        <f ca="1">$K$202-EFEITO!$M$202*EFEITO!$Z$202</f>
        <v>9.4890981538422352</v>
      </c>
      <c r="O202" s="61">
        <f>$L$202-EFEITO!$O$202*EFEITO!$AA$202</f>
        <v>4.0455391478576601</v>
      </c>
      <c r="P202" s="45"/>
      <c r="Q202" s="45"/>
      <c r="R202" s="45"/>
      <c r="S202" s="45"/>
      <c r="T202" s="45"/>
      <c r="U202" s="45"/>
      <c r="V202" s="45"/>
      <c r="W202" s="45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41" t="s">
        <v>21</v>
      </c>
      <c r="B203" s="41" t="s">
        <v>42</v>
      </c>
      <c r="C203" s="41" t="s">
        <v>23</v>
      </c>
      <c r="D203" s="41" t="s">
        <v>43</v>
      </c>
      <c r="E203" s="41" t="s">
        <v>54</v>
      </c>
      <c r="F203" s="41" t="s">
        <v>52</v>
      </c>
      <c r="G203" s="41" t="s">
        <v>25</v>
      </c>
      <c r="H203" s="41" t="s">
        <v>25</v>
      </c>
      <c r="I203" s="60">
        <v>44562</v>
      </c>
      <c r="J203" s="61">
        <f>EFEITO!$J$203*EFEITO!$Y$74</f>
        <v>0</v>
      </c>
      <c r="K203" s="61">
        <f ca="1">EFEITO!$L$203*EFEITO!$Z$74</f>
        <v>363.79356472709566</v>
      </c>
      <c r="L203" s="61">
        <f>EFEITO!$N$203*EFEITO!$AA$74</f>
        <v>155.09810141928313</v>
      </c>
      <c r="M203" s="61">
        <f>$J$203-EFEITO!$K$203*EFEITO!$Y$203</f>
        <v>0</v>
      </c>
      <c r="N203" s="61">
        <f ca="1">$K$203-EFEITO!$M$203*EFEITO!$Z$203</f>
        <v>21.827613883625759</v>
      </c>
      <c r="O203" s="61">
        <f>$L$203-EFEITO!$O$203*EFEITO!$AA$203</f>
        <v>9.3058860851569989</v>
      </c>
      <c r="P203" s="45"/>
      <c r="Q203" s="45"/>
      <c r="R203" s="45"/>
      <c r="S203" s="45"/>
      <c r="T203" s="45"/>
      <c r="U203" s="45"/>
      <c r="V203" s="45"/>
      <c r="W203" s="45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41" t="s">
        <v>21</v>
      </c>
      <c r="B204" s="41" t="s">
        <v>42</v>
      </c>
      <c r="C204" s="41" t="s">
        <v>23</v>
      </c>
      <c r="D204" s="41" t="s">
        <v>43</v>
      </c>
      <c r="E204" s="41" t="s">
        <v>54</v>
      </c>
      <c r="F204" s="41" t="s">
        <v>52</v>
      </c>
      <c r="G204" s="41" t="s">
        <v>25</v>
      </c>
      <c r="H204" s="41" t="s">
        <v>25</v>
      </c>
      <c r="I204" s="60">
        <v>44593</v>
      </c>
      <c r="J204" s="61">
        <f>EFEITO!$J$204*EFEITO!$Y$74</f>
        <v>0</v>
      </c>
      <c r="K204" s="61">
        <f ca="1">EFEITO!$L$204*EFEITO!$Z$74</f>
        <v>396.94716545345659</v>
      </c>
      <c r="L204" s="61">
        <f>EFEITO!$N$204*EFEITO!$AA$74</f>
        <v>169.2326574599567</v>
      </c>
      <c r="M204" s="61">
        <f>$J$204-EFEITO!$K$204*EFEITO!$Y$204</f>
        <v>0</v>
      </c>
      <c r="N204" s="61">
        <f ca="1">$K$204-EFEITO!$M$204*EFEITO!$Z$204</f>
        <v>23.816829927207436</v>
      </c>
      <c r="O204" s="61">
        <f>$L$204-EFEITO!$O$204*EFEITO!$AA$204</f>
        <v>10.153959447597401</v>
      </c>
      <c r="P204" s="45"/>
      <c r="Q204" s="45"/>
      <c r="R204" s="45"/>
      <c r="S204" s="45"/>
      <c r="T204" s="45"/>
      <c r="U204" s="45"/>
      <c r="V204" s="45"/>
      <c r="W204" s="45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41" t="s">
        <v>21</v>
      </c>
      <c r="B205" s="41" t="s">
        <v>42</v>
      </c>
      <c r="C205" s="41" t="s">
        <v>23</v>
      </c>
      <c r="D205" s="41" t="s">
        <v>43</v>
      </c>
      <c r="E205" s="41" t="s">
        <v>54</v>
      </c>
      <c r="F205" s="41" t="s">
        <v>52</v>
      </c>
      <c r="G205" s="41" t="s">
        <v>25</v>
      </c>
      <c r="H205" s="41" t="s">
        <v>25</v>
      </c>
      <c r="I205" s="60">
        <v>44621</v>
      </c>
      <c r="J205" s="61">
        <f>EFEITO!$J$205*EFEITO!$Y$74</f>
        <v>0</v>
      </c>
      <c r="K205" s="61">
        <f ca="1">EFEITO!$L$205*EFEITO!$Z$74</f>
        <v>486.10347010948124</v>
      </c>
      <c r="L205" s="61">
        <f>EFEITO!$N$205*EFEITO!$AA$74</f>
        <v>207.24315275852484</v>
      </c>
      <c r="M205" s="61">
        <f>$J$205-EFEITO!$K$205*EFEITO!$Y$205</f>
        <v>0</v>
      </c>
      <c r="N205" s="61">
        <f ca="1">$K$205-EFEITO!$M$205*EFEITO!$Z$205</f>
        <v>29.166208206568911</v>
      </c>
      <c r="O205" s="61">
        <f>$L$205-EFEITO!$O$205*EFEITO!$AA$205</f>
        <v>12.434589165511483</v>
      </c>
      <c r="P205" s="45"/>
      <c r="Q205" s="45"/>
      <c r="R205" s="45"/>
      <c r="S205" s="45"/>
      <c r="T205" s="45"/>
      <c r="U205" s="45"/>
      <c r="V205" s="45"/>
      <c r="W205" s="45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41" t="s">
        <v>21</v>
      </c>
      <c r="B206" s="41" t="s">
        <v>42</v>
      </c>
      <c r="C206" s="41" t="s">
        <v>23</v>
      </c>
      <c r="D206" s="41" t="s">
        <v>43</v>
      </c>
      <c r="E206" s="41" t="s">
        <v>54</v>
      </c>
      <c r="F206" s="41" t="s">
        <v>52</v>
      </c>
      <c r="G206" s="41" t="s">
        <v>25</v>
      </c>
      <c r="H206" s="41" t="s">
        <v>25</v>
      </c>
      <c r="I206" s="60">
        <v>44652</v>
      </c>
      <c r="J206" s="61">
        <f>EFEITO!$J$206*EFEITO!$Y$74</f>
        <v>0</v>
      </c>
      <c r="K206" s="61">
        <f ca="1">EFEITO!$L$206*EFEITO!$Z$74</f>
        <v>470.42271300917542</v>
      </c>
      <c r="L206" s="61">
        <f>EFEITO!$N$206*EFEITO!$AA$74</f>
        <v>200.55788976631439</v>
      </c>
      <c r="M206" s="61">
        <f>$J$206-EFEITO!$K$206*EFEITO!$Y$206</f>
        <v>0</v>
      </c>
      <c r="N206" s="61">
        <f ca="1">$K$206-EFEITO!$M$206*EFEITO!$Z$206</f>
        <v>28.22536278055054</v>
      </c>
      <c r="O206" s="61">
        <f>$L$206-EFEITO!$O$206*EFEITO!$AA$206</f>
        <v>12.03347338597888</v>
      </c>
      <c r="P206" s="45"/>
      <c r="Q206" s="45"/>
      <c r="R206" s="45"/>
      <c r="S206" s="45"/>
      <c r="T206" s="45"/>
      <c r="U206" s="45"/>
      <c r="V206" s="45"/>
      <c r="W206" s="4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41" t="s">
        <v>21</v>
      </c>
      <c r="B207" s="41" t="s">
        <v>42</v>
      </c>
      <c r="C207" s="41" t="s">
        <v>23</v>
      </c>
      <c r="D207" s="41" t="s">
        <v>43</v>
      </c>
      <c r="E207" s="41" t="s">
        <v>54</v>
      </c>
      <c r="F207" s="41" t="s">
        <v>52</v>
      </c>
      <c r="G207" s="41" t="s">
        <v>25</v>
      </c>
      <c r="H207" s="41" t="s">
        <v>25</v>
      </c>
      <c r="I207" s="60">
        <v>44682</v>
      </c>
      <c r="J207" s="61">
        <f>EFEITO!$J$207*EFEITO!$Y$74</f>
        <v>0</v>
      </c>
      <c r="K207" s="61">
        <f ca="1">EFEITO!$L$207*EFEITO!$Z$74</f>
        <v>311.37503384893034</v>
      </c>
      <c r="L207" s="61">
        <f>EFEITO!$N$207*EFEITO!$AA$74</f>
        <v>132.7502222738938</v>
      </c>
      <c r="M207" s="61">
        <f>$J$207-EFEITO!$K$207*EFEITO!$Y$207</f>
        <v>0</v>
      </c>
      <c r="N207" s="61">
        <f ca="1">$K$207-EFEITO!$M$207*EFEITO!$Z$207</f>
        <v>18.68250203093578</v>
      </c>
      <c r="O207" s="61">
        <f>$L$207-EFEITO!$O$207*EFEITO!$AA$207</f>
        <v>7.9650133364336426</v>
      </c>
      <c r="P207" s="45"/>
      <c r="Q207" s="45"/>
      <c r="R207" s="45"/>
      <c r="S207" s="45"/>
      <c r="T207" s="45"/>
      <c r="U207" s="45"/>
      <c r="V207" s="45"/>
      <c r="W207" s="45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41" t="s">
        <v>21</v>
      </c>
      <c r="B208" s="41" t="s">
        <v>42</v>
      </c>
      <c r="C208" s="41" t="s">
        <v>23</v>
      </c>
      <c r="D208" s="41" t="s">
        <v>43</v>
      </c>
      <c r="E208" s="41" t="s">
        <v>54</v>
      </c>
      <c r="F208" s="41" t="s">
        <v>52</v>
      </c>
      <c r="G208" s="41" t="s">
        <v>25</v>
      </c>
      <c r="H208" s="41" t="s">
        <v>25</v>
      </c>
      <c r="I208" s="60">
        <v>44713</v>
      </c>
      <c r="J208" s="61">
        <f>EFEITO!$J$208*EFEITO!$Y$74</f>
        <v>0</v>
      </c>
      <c r="K208" s="61">
        <f ca="1">EFEITO!$L$208*EFEITO!$Z$74</f>
        <v>93.636520970397768</v>
      </c>
      <c r="L208" s="61">
        <f>EFEITO!$N$208*EFEITO!$AA$74</f>
        <v>39.920570439199714</v>
      </c>
      <c r="M208" s="61">
        <f>$J$208-EFEITO!$K$208*EFEITO!$Y$208</f>
        <v>0</v>
      </c>
      <c r="N208" s="61">
        <f ca="1">$K$208-EFEITO!$M$208*EFEITO!$Z$208</f>
        <v>5.6181912582238738</v>
      </c>
      <c r="O208" s="61">
        <f>$L$208-EFEITO!$O$208*EFEITO!$AA$208</f>
        <v>2.395234226351981</v>
      </c>
      <c r="P208" s="45"/>
      <c r="Q208" s="45"/>
      <c r="R208" s="45"/>
      <c r="S208" s="45"/>
      <c r="T208" s="45"/>
      <c r="U208" s="45"/>
      <c r="V208" s="45"/>
      <c r="W208" s="45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41" t="s">
        <v>21</v>
      </c>
      <c r="B209" s="41" t="s">
        <v>42</v>
      </c>
      <c r="C209" s="41" t="s">
        <v>23</v>
      </c>
      <c r="D209" s="41" t="s">
        <v>43</v>
      </c>
      <c r="E209" s="41" t="s">
        <v>54</v>
      </c>
      <c r="F209" s="41" t="s">
        <v>52</v>
      </c>
      <c r="G209" s="41" t="s">
        <v>25</v>
      </c>
      <c r="H209" s="41" t="s">
        <v>25</v>
      </c>
      <c r="I209" s="60">
        <v>44743</v>
      </c>
      <c r="J209" s="61">
        <f>EFEITO!$J$209*EFEITO!$Y$74</f>
        <v>0</v>
      </c>
      <c r="K209" s="61">
        <f ca="1">EFEITO!$L$209*EFEITO!$Z$74</f>
        <v>71.683461029969592</v>
      </c>
      <c r="L209" s="61">
        <f>EFEITO!$N$209*EFEITO!$AA$74</f>
        <v>30.561202250105048</v>
      </c>
      <c r="M209" s="61">
        <f>$J$209-EFEITO!$K$209*EFEITO!$Y$209</f>
        <v>0</v>
      </c>
      <c r="N209" s="61">
        <f ca="1">$K$209-EFEITO!$M$209*EFEITO!$Z$209</f>
        <v>4.3010076617981809</v>
      </c>
      <c r="O209" s="61">
        <f>$L$209-EFEITO!$O$209*EFEITO!$AA$209</f>
        <v>1.833672135006303</v>
      </c>
      <c r="P209" s="45"/>
      <c r="Q209" s="45"/>
      <c r="R209" s="45"/>
      <c r="S209" s="45"/>
      <c r="T209" s="45"/>
      <c r="U209" s="45"/>
      <c r="V209" s="45"/>
      <c r="W209" s="45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41" t="s">
        <v>55</v>
      </c>
      <c r="B210" s="41" t="s">
        <v>42</v>
      </c>
      <c r="C210" s="41" t="s">
        <v>23</v>
      </c>
      <c r="D210" s="41" t="s">
        <v>43</v>
      </c>
      <c r="E210" s="41" t="s">
        <v>54</v>
      </c>
      <c r="F210" s="41" t="s">
        <v>52</v>
      </c>
      <c r="G210" s="41" t="s">
        <v>25</v>
      </c>
      <c r="H210" s="41" t="s">
        <v>25</v>
      </c>
      <c r="I210" s="60">
        <v>44774</v>
      </c>
      <c r="J210" s="61">
        <f>EFEITO!$J$210*EFEITO!$Y$74</f>
        <v>0</v>
      </c>
      <c r="K210" s="61">
        <f ca="1">EFEITO!$L$210*EFEITO!$Z$74</f>
        <v>71.683461029969592</v>
      </c>
      <c r="L210" s="61">
        <f>EFEITO!$N$210*EFEITO!$AA$74</f>
        <v>30.561202250105048</v>
      </c>
      <c r="M210" s="61">
        <f>$J$210-EFEITO!$K$210*EFEITO!$Y$210</f>
        <v>0</v>
      </c>
      <c r="N210" s="61">
        <f ca="1">$K$210-EFEITO!$M$210*EFEITO!$Z$210</f>
        <v>4.3010076617981809</v>
      </c>
      <c r="O210" s="61">
        <f>$L$210-EFEITO!$O$210*EFEITO!$AA$210</f>
        <v>1.833672135006303</v>
      </c>
      <c r="P210" s="45"/>
      <c r="Q210" s="45"/>
      <c r="R210" s="45"/>
      <c r="S210" s="45"/>
      <c r="T210" s="45"/>
      <c r="U210" s="45"/>
      <c r="V210" s="45"/>
      <c r="W210" s="45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41" t="s">
        <v>21</v>
      </c>
      <c r="B211" s="41" t="s">
        <v>42</v>
      </c>
      <c r="C211" s="41" t="s">
        <v>23</v>
      </c>
      <c r="D211" s="41" t="s">
        <v>43</v>
      </c>
      <c r="E211" s="41" t="s">
        <v>54</v>
      </c>
      <c r="F211" s="41" t="s">
        <v>53</v>
      </c>
      <c r="G211" s="41" t="s">
        <v>25</v>
      </c>
      <c r="H211" s="41" t="s">
        <v>25</v>
      </c>
      <c r="I211" s="60">
        <v>44440</v>
      </c>
      <c r="J211" s="61">
        <f>EFEITO!$J$211*EFEITO!$Y$74</f>
        <v>0</v>
      </c>
      <c r="K211" s="61">
        <f ca="1">EFEITO!$L$211*EFEITO!$Z$74</f>
        <v>436.82109065137718</v>
      </c>
      <c r="L211" s="61">
        <f>EFEITO!$N$211*EFEITO!$AA$74</f>
        <v>186.23232621157763</v>
      </c>
      <c r="M211" s="61">
        <f>$J$211-EFEITO!$K$211*EFEITO!$Y$211</f>
        <v>0</v>
      </c>
      <c r="N211" s="61">
        <f ca="1">$K$211-EFEITO!$M$211*EFEITO!$Z$211</f>
        <v>272.57636056645936</v>
      </c>
      <c r="O211" s="61">
        <f>$L$211-EFEITO!$O$211*EFEITO!$AA$211</f>
        <v>116.20897155602444</v>
      </c>
      <c r="P211" s="45"/>
      <c r="Q211" s="45"/>
      <c r="R211" s="45"/>
      <c r="S211" s="45"/>
      <c r="T211" s="45"/>
      <c r="U211" s="45"/>
      <c r="V211" s="45"/>
      <c r="W211" s="45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41" t="s">
        <v>21</v>
      </c>
      <c r="B212" s="41" t="s">
        <v>42</v>
      </c>
      <c r="C212" s="41" t="s">
        <v>23</v>
      </c>
      <c r="D212" s="41" t="s">
        <v>43</v>
      </c>
      <c r="E212" s="41" t="s">
        <v>54</v>
      </c>
      <c r="F212" s="41" t="s">
        <v>53</v>
      </c>
      <c r="G212" s="41" t="s">
        <v>25</v>
      </c>
      <c r="H212" s="41" t="s">
        <v>25</v>
      </c>
      <c r="I212" s="60">
        <v>44470</v>
      </c>
      <c r="J212" s="61">
        <f>EFEITO!$J$212*EFEITO!$Y$74</f>
        <v>0</v>
      </c>
      <c r="K212" s="61">
        <f ca="1">EFEITO!$L$212*EFEITO!$Z$74</f>
        <v>634.84665174666816</v>
      </c>
      <c r="L212" s="61">
        <f>EFEITO!$N$212*EFEITO!$AA$74</f>
        <v>270.65764742749286</v>
      </c>
      <c r="M212" s="61">
        <f>$J$212-EFEITO!$K$212*EFEITO!$Y$212</f>
        <v>0</v>
      </c>
      <c r="N212" s="61">
        <f ca="1">$K$212-EFEITO!$M$212*EFEITO!$Z$212</f>
        <v>396.14431068992099</v>
      </c>
      <c r="O212" s="61">
        <f>$L$212-EFEITO!$O$212*EFEITO!$AA$212</f>
        <v>168.89037199475558</v>
      </c>
      <c r="P212" s="45"/>
      <c r="Q212" s="45"/>
      <c r="R212" s="45"/>
      <c r="S212" s="45"/>
      <c r="T212" s="45"/>
      <c r="U212" s="45"/>
      <c r="V212" s="45"/>
      <c r="W212" s="45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41" t="s">
        <v>21</v>
      </c>
      <c r="B213" s="41" t="s">
        <v>42</v>
      </c>
      <c r="C213" s="41" t="s">
        <v>23</v>
      </c>
      <c r="D213" s="41" t="s">
        <v>43</v>
      </c>
      <c r="E213" s="41" t="s">
        <v>54</v>
      </c>
      <c r="F213" s="41" t="s">
        <v>53</v>
      </c>
      <c r="G213" s="41" t="s">
        <v>25</v>
      </c>
      <c r="H213" s="41" t="s">
        <v>25</v>
      </c>
      <c r="I213" s="60">
        <v>44501</v>
      </c>
      <c r="J213" s="61">
        <f>EFEITO!$J$213*EFEITO!$Y$74</f>
        <v>0</v>
      </c>
      <c r="K213" s="61">
        <f ca="1">EFEITO!$L$213*EFEITO!$Z$74</f>
        <v>731.17130250568971</v>
      </c>
      <c r="L213" s="61">
        <f>EFEITO!$N$213*EFEITO!$AA$74</f>
        <v>311.72426295107147</v>
      </c>
      <c r="M213" s="61">
        <f>$J$213-EFEITO!$K$213*EFEITO!$Y$213</f>
        <v>0</v>
      </c>
      <c r="N213" s="61">
        <f ca="1">$K$213-EFEITO!$M$213*EFEITO!$Z$213</f>
        <v>456.25089276355033</v>
      </c>
      <c r="O213" s="61">
        <f>$L$213-EFEITO!$O$213*EFEITO!$AA$213</f>
        <v>194.51594008146859</v>
      </c>
      <c r="P213" s="45"/>
      <c r="Q213" s="45"/>
      <c r="R213" s="45"/>
      <c r="S213" s="45"/>
      <c r="T213" s="45"/>
      <c r="U213" s="45"/>
      <c r="V213" s="45"/>
      <c r="W213" s="45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41" t="s">
        <v>21</v>
      </c>
      <c r="B214" s="41" t="s">
        <v>42</v>
      </c>
      <c r="C214" s="41" t="s">
        <v>23</v>
      </c>
      <c r="D214" s="41" t="s">
        <v>43</v>
      </c>
      <c r="E214" s="41" t="s">
        <v>54</v>
      </c>
      <c r="F214" s="41" t="s">
        <v>53</v>
      </c>
      <c r="G214" s="41" t="s">
        <v>25</v>
      </c>
      <c r="H214" s="41" t="s">
        <v>25</v>
      </c>
      <c r="I214" s="60">
        <v>44531</v>
      </c>
      <c r="J214" s="61">
        <f>EFEITO!$J$214*EFEITO!$Y$74</f>
        <v>0</v>
      </c>
      <c r="K214" s="61">
        <f ca="1">EFEITO!$L$214*EFEITO!$Z$74</f>
        <v>1070.3236775037333</v>
      </c>
      <c r="L214" s="61">
        <f>EFEITO!$N$214*EFEITO!$AA$74</f>
        <v>456.31695109688093</v>
      </c>
      <c r="M214" s="61">
        <f>$J$214-EFEITO!$K$214*EFEITO!$Y$214</f>
        <v>0</v>
      </c>
      <c r="N214" s="61">
        <f ca="1">$K$214-EFEITO!$M$214*EFEITO!$Z$214</f>
        <v>667.88197476232949</v>
      </c>
      <c r="O214" s="61">
        <f>$L$214-EFEITO!$O$214*EFEITO!$AA$214</f>
        <v>284.74177748445368</v>
      </c>
      <c r="P214" s="45"/>
      <c r="Q214" s="45"/>
      <c r="R214" s="45"/>
      <c r="S214" s="45"/>
      <c r="T214" s="45"/>
      <c r="U214" s="45"/>
      <c r="V214" s="45"/>
      <c r="W214" s="45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41" t="s">
        <v>21</v>
      </c>
      <c r="B215" s="41" t="s">
        <v>42</v>
      </c>
      <c r="C215" s="41" t="s">
        <v>23</v>
      </c>
      <c r="D215" s="41" t="s">
        <v>43</v>
      </c>
      <c r="E215" s="41" t="s">
        <v>54</v>
      </c>
      <c r="F215" s="41" t="s">
        <v>53</v>
      </c>
      <c r="G215" s="41" t="s">
        <v>25</v>
      </c>
      <c r="H215" s="41" t="s">
        <v>25</v>
      </c>
      <c r="I215" s="60">
        <v>44562</v>
      </c>
      <c r="J215" s="61">
        <f>EFEITO!$J$215*EFEITO!$Y$74</f>
        <v>0</v>
      </c>
      <c r="K215" s="61">
        <f ca="1">EFEITO!$L$215*EFEITO!$Z$74</f>
        <v>1532.2339795155999</v>
      </c>
      <c r="L215" s="61">
        <f>EFEITO!$N$215*EFEITO!$AA$74</f>
        <v>653.24569809599541</v>
      </c>
      <c r="M215" s="61">
        <f>$J$215-EFEITO!$K$215*EFEITO!$Y$215</f>
        <v>0</v>
      </c>
      <c r="N215" s="61">
        <f ca="1">$K$215-EFEITO!$M$215*EFEITO!$Z$215</f>
        <v>956.11400321773431</v>
      </c>
      <c r="O215" s="61">
        <f>$L$215-EFEITO!$O$215*EFEITO!$AA$215</f>
        <v>407.6253156119011</v>
      </c>
      <c r="P215" s="45"/>
      <c r="Q215" s="45"/>
      <c r="R215" s="45"/>
      <c r="S215" s="45"/>
      <c r="T215" s="45"/>
      <c r="U215" s="45"/>
      <c r="V215" s="45"/>
      <c r="W215" s="45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41" t="s">
        <v>21</v>
      </c>
      <c r="B216" s="41" t="s">
        <v>42</v>
      </c>
      <c r="C216" s="41" t="s">
        <v>23</v>
      </c>
      <c r="D216" s="41" t="s">
        <v>43</v>
      </c>
      <c r="E216" s="41" t="s">
        <v>54</v>
      </c>
      <c r="F216" s="41" t="s">
        <v>53</v>
      </c>
      <c r="G216" s="41" t="s">
        <v>25</v>
      </c>
      <c r="H216" s="41" t="s">
        <v>25</v>
      </c>
      <c r="I216" s="60">
        <v>44593</v>
      </c>
      <c r="J216" s="61">
        <f>EFEITO!$J$216*EFEITO!$Y$74</f>
        <v>0</v>
      </c>
      <c r="K216" s="61">
        <f ca="1">EFEITO!$L$216*EFEITO!$Z$74</f>
        <v>1771.9255523345607</v>
      </c>
      <c r="L216" s="61">
        <f>EFEITO!$N$216*EFEITO!$AA$74</f>
        <v>755.43471811978418</v>
      </c>
      <c r="M216" s="61">
        <f>$J$216-EFEITO!$K$216*EFEITO!$Y$216</f>
        <v>0</v>
      </c>
      <c r="N216" s="61">
        <f ca="1">$K$216-EFEITO!$M$216*EFEITO!$Z$216</f>
        <v>1105.6815446567659</v>
      </c>
      <c r="O216" s="61">
        <f>$L$216-EFEITO!$O$216*EFEITO!$AA$216</f>
        <v>471.39126410674533</v>
      </c>
      <c r="P216" s="45"/>
      <c r="Q216" s="45"/>
      <c r="R216" s="45"/>
      <c r="S216" s="45"/>
      <c r="T216" s="45"/>
      <c r="U216" s="45"/>
      <c r="V216" s="45"/>
      <c r="W216" s="45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41" t="s">
        <v>21</v>
      </c>
      <c r="B217" s="41" t="s">
        <v>42</v>
      </c>
      <c r="C217" s="41" t="s">
        <v>23</v>
      </c>
      <c r="D217" s="41" t="s">
        <v>43</v>
      </c>
      <c r="E217" s="41" t="s">
        <v>54</v>
      </c>
      <c r="F217" s="41" t="s">
        <v>53</v>
      </c>
      <c r="G217" s="41" t="s">
        <v>25</v>
      </c>
      <c r="H217" s="41" t="s">
        <v>25</v>
      </c>
      <c r="I217" s="60">
        <v>44621</v>
      </c>
      <c r="J217" s="61">
        <f>EFEITO!$J$217*EFEITO!$Y$74</f>
        <v>0</v>
      </c>
      <c r="K217" s="61">
        <f ca="1">EFEITO!$L$217*EFEITO!$Z$74</f>
        <v>1066.7395044522348</v>
      </c>
      <c r="L217" s="61">
        <f>EFEITO!$N$217*EFEITO!$AA$74</f>
        <v>454.78889098437571</v>
      </c>
      <c r="M217" s="61">
        <f>$J$217-EFEITO!$K$217*EFEITO!$Y$217</f>
        <v>0</v>
      </c>
      <c r="N217" s="61">
        <f ca="1">$K$217-EFEITO!$M$217*EFEITO!$Z$217</f>
        <v>665.64545077819446</v>
      </c>
      <c r="O217" s="61">
        <f>$L$217-EFEITO!$O$217*EFEITO!$AA$217</f>
        <v>283.7882679742504</v>
      </c>
      <c r="P217" s="45"/>
      <c r="Q217" s="45"/>
      <c r="R217" s="45"/>
      <c r="S217" s="45"/>
      <c r="T217" s="45"/>
      <c r="U217" s="45"/>
      <c r="V217" s="45"/>
      <c r="W217" s="45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41" t="s">
        <v>21</v>
      </c>
      <c r="B218" s="41" t="s">
        <v>42</v>
      </c>
      <c r="C218" s="41" t="s">
        <v>23</v>
      </c>
      <c r="D218" s="41" t="s">
        <v>43</v>
      </c>
      <c r="E218" s="41" t="s">
        <v>54</v>
      </c>
      <c r="F218" s="41" t="s">
        <v>53</v>
      </c>
      <c r="G218" s="41" t="s">
        <v>25</v>
      </c>
      <c r="H218" s="41" t="s">
        <v>25</v>
      </c>
      <c r="I218" s="60">
        <v>44652</v>
      </c>
      <c r="J218" s="61">
        <f>EFEITO!$J$218*EFEITO!$Y$74</f>
        <v>0</v>
      </c>
      <c r="K218" s="61">
        <f ca="1">EFEITO!$L$218*EFEITO!$Z$74</f>
        <v>1290.3022985394525</v>
      </c>
      <c r="L218" s="61">
        <f>EFEITO!$N$218*EFEITO!$AA$74</f>
        <v>550.10164050189087</v>
      </c>
      <c r="M218" s="61">
        <f>$J$218-EFEITO!$K$218*EFEITO!$Y$218</f>
        <v>0</v>
      </c>
      <c r="N218" s="61">
        <f ca="1">$K$218-EFEITO!$M$218*EFEITO!$Z$218</f>
        <v>805.1486342886185</v>
      </c>
      <c r="O218" s="61">
        <f>$L$218-EFEITO!$O$218*EFEITO!$AA$218</f>
        <v>343.26342367317994</v>
      </c>
      <c r="P218" s="45"/>
      <c r="Q218" s="45"/>
      <c r="R218" s="45"/>
      <c r="S218" s="45"/>
      <c r="T218" s="45"/>
      <c r="U218" s="45"/>
      <c r="V218" s="45"/>
      <c r="W218" s="45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41" t="s">
        <v>21</v>
      </c>
      <c r="B219" s="41" t="s">
        <v>42</v>
      </c>
      <c r="C219" s="41" t="s">
        <v>23</v>
      </c>
      <c r="D219" s="41" t="s">
        <v>43</v>
      </c>
      <c r="E219" s="41" t="s">
        <v>54</v>
      </c>
      <c r="F219" s="41" t="s">
        <v>53</v>
      </c>
      <c r="G219" s="41" t="s">
        <v>25</v>
      </c>
      <c r="H219" s="41" t="s">
        <v>25</v>
      </c>
      <c r="I219" s="60">
        <v>44682</v>
      </c>
      <c r="J219" s="61">
        <f>EFEITO!$J$219*EFEITO!$Y$74</f>
        <v>0</v>
      </c>
      <c r="K219" s="61">
        <f ca="1">EFEITO!$L$219*EFEITO!$Z$74</f>
        <v>1302.39888258826</v>
      </c>
      <c r="L219" s="61">
        <f>EFEITO!$N$219*EFEITO!$AA$74</f>
        <v>555.25884338159608</v>
      </c>
      <c r="M219" s="61">
        <f>$J$219-EFEITO!$K$219*EFEITO!$Y$219</f>
        <v>0</v>
      </c>
      <c r="N219" s="61">
        <f ca="1">$K$219-EFEITO!$M$219*EFEITO!$Z$219</f>
        <v>812.69690273507422</v>
      </c>
      <c r="O219" s="61">
        <f>$L$219-EFEITO!$O$219*EFEITO!$AA$219</f>
        <v>346.48151827011594</v>
      </c>
      <c r="P219" s="45"/>
      <c r="Q219" s="45"/>
      <c r="R219" s="45"/>
      <c r="S219" s="45"/>
      <c r="T219" s="45"/>
      <c r="U219" s="45"/>
      <c r="V219" s="45"/>
      <c r="W219" s="45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41" t="s">
        <v>21</v>
      </c>
      <c r="B220" s="41" t="s">
        <v>42</v>
      </c>
      <c r="C220" s="41" t="s">
        <v>23</v>
      </c>
      <c r="D220" s="41" t="s">
        <v>43</v>
      </c>
      <c r="E220" s="41" t="s">
        <v>54</v>
      </c>
      <c r="F220" s="41" t="s">
        <v>53</v>
      </c>
      <c r="G220" s="41" t="s">
        <v>25</v>
      </c>
      <c r="H220" s="41" t="s">
        <v>25</v>
      </c>
      <c r="I220" s="60">
        <v>44713</v>
      </c>
      <c r="J220" s="61">
        <f>EFEITO!$J$220*EFEITO!$Y$74</f>
        <v>0</v>
      </c>
      <c r="K220" s="61">
        <f ca="1">EFEITO!$L$220*EFEITO!$Z$74</f>
        <v>240.58761608183542</v>
      </c>
      <c r="L220" s="61">
        <f>EFEITO!$N$220*EFEITO!$AA$74</f>
        <v>102.57103505191508</v>
      </c>
      <c r="M220" s="61">
        <f>$J$220-EFEITO!$K$220*EFEITO!$Y$220</f>
        <v>0</v>
      </c>
      <c r="N220" s="61">
        <f ca="1">$K$220-EFEITO!$M$220*EFEITO!$Z$220</f>
        <v>150.1266724350653</v>
      </c>
      <c r="O220" s="61">
        <f>$L$220-EFEITO!$O$220*EFEITO!$AA$220</f>
        <v>64.004325872395015</v>
      </c>
      <c r="P220" s="45"/>
      <c r="Q220" s="45"/>
      <c r="R220" s="45"/>
      <c r="S220" s="45"/>
      <c r="T220" s="45"/>
      <c r="U220" s="45"/>
      <c r="V220" s="45"/>
      <c r="W220" s="45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41" t="s">
        <v>21</v>
      </c>
      <c r="B221" s="41" t="s">
        <v>42</v>
      </c>
      <c r="C221" s="41" t="s">
        <v>23</v>
      </c>
      <c r="D221" s="41" t="s">
        <v>43</v>
      </c>
      <c r="E221" s="41" t="s">
        <v>54</v>
      </c>
      <c r="F221" s="41" t="s">
        <v>53</v>
      </c>
      <c r="G221" s="41" t="s">
        <v>25</v>
      </c>
      <c r="H221" s="41" t="s">
        <v>25</v>
      </c>
      <c r="I221" s="60">
        <v>44743</v>
      </c>
      <c r="J221" s="61">
        <f>EFEITO!$J$221*EFEITO!$Y$74</f>
        <v>0</v>
      </c>
      <c r="K221" s="61">
        <f ca="1">EFEITO!$L$221*EFEITO!$Z$74</f>
        <v>194.88940967522981</v>
      </c>
      <c r="L221" s="61">
        <f>EFEITO!$N$221*EFEITO!$AA$74</f>
        <v>83.088268617473105</v>
      </c>
      <c r="M221" s="61">
        <f>$J$221-EFEITO!$K$221*EFEITO!$Y$221</f>
        <v>0</v>
      </c>
      <c r="N221" s="61">
        <f ca="1">$K$221-EFEITO!$M$221*EFEITO!$Z$221</f>
        <v>121.61099163734342</v>
      </c>
      <c r="O221" s="61">
        <f>$L$221-EFEITO!$O$221*EFEITO!$AA$221</f>
        <v>51.847079617303223</v>
      </c>
      <c r="P221" s="45"/>
      <c r="Q221" s="45"/>
      <c r="R221" s="45"/>
      <c r="S221" s="45"/>
      <c r="T221" s="45"/>
      <c r="U221" s="45"/>
      <c r="V221" s="45"/>
      <c r="W221" s="45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41" t="s">
        <v>55</v>
      </c>
      <c r="B222" s="41" t="s">
        <v>42</v>
      </c>
      <c r="C222" s="41" t="s">
        <v>23</v>
      </c>
      <c r="D222" s="41" t="s">
        <v>43</v>
      </c>
      <c r="E222" s="41" t="s">
        <v>54</v>
      </c>
      <c r="F222" s="41" t="s">
        <v>53</v>
      </c>
      <c r="G222" s="41" t="s">
        <v>25</v>
      </c>
      <c r="H222" s="41" t="s">
        <v>25</v>
      </c>
      <c r="I222" s="60">
        <v>44774</v>
      </c>
      <c r="J222" s="61">
        <f>EFEITO!$J$222*EFEITO!$Y$74</f>
        <v>0</v>
      </c>
      <c r="K222" s="61">
        <f ca="1">EFEITO!$L$222*EFEITO!$Z$74</f>
        <v>194.88940967522981</v>
      </c>
      <c r="L222" s="61">
        <f>EFEITO!$N$222*EFEITO!$AA$74</f>
        <v>83.088268617473105</v>
      </c>
      <c r="M222" s="61">
        <f>$J$222-EFEITO!$K$222*EFEITO!$Y$222</f>
        <v>0</v>
      </c>
      <c r="N222" s="61">
        <f ca="1">$K$222-EFEITO!$M$222*EFEITO!$Z$222</f>
        <v>121.61099163734342</v>
      </c>
      <c r="O222" s="61">
        <f>$L$222-EFEITO!$O$222*EFEITO!$AA$222</f>
        <v>51.847079617303223</v>
      </c>
      <c r="P222" s="45"/>
      <c r="Q222" s="45"/>
      <c r="R222" s="45"/>
      <c r="S222" s="45"/>
      <c r="T222" s="45"/>
      <c r="U222" s="45"/>
      <c r="V222" s="45"/>
      <c r="W222" s="45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41" t="s">
        <v>21</v>
      </c>
      <c r="B223" s="41" t="s">
        <v>42</v>
      </c>
      <c r="C223" s="41" t="s">
        <v>23</v>
      </c>
      <c r="D223" s="41" t="s">
        <v>43</v>
      </c>
      <c r="E223" s="41" t="s">
        <v>25</v>
      </c>
      <c r="F223" s="41" t="s">
        <v>25</v>
      </c>
      <c r="G223" s="41" t="s">
        <v>25</v>
      </c>
      <c r="H223" s="41" t="s">
        <v>25</v>
      </c>
      <c r="I223" s="60">
        <v>44440</v>
      </c>
      <c r="J223" s="61">
        <f>EFEITO!$J$223*EFEITO!$Y$74</f>
        <v>0</v>
      </c>
      <c r="K223" s="61">
        <f ca="1">EFEITO!$L$223*EFEITO!$Z$74</f>
        <v>166021.58387519818</v>
      </c>
      <c r="L223" s="61">
        <f>EFEITO!$N$223*EFEITO!$AA$74</f>
        <v>70780.890456327659</v>
      </c>
      <c r="M223" s="61">
        <f>$J$223-EFEITO!$K$223*EFEITO!$Y$223</f>
        <v>0</v>
      </c>
      <c r="N223" s="61">
        <f ca="1">$K$223-EFEITO!$M$223*EFEITO!$Z$223</f>
        <v>9961.2950325119018</v>
      </c>
      <c r="O223" s="61">
        <f>$L$223-EFEITO!$O$223*EFEITO!$AA$223</f>
        <v>4246.853427379654</v>
      </c>
      <c r="P223" s="45"/>
      <c r="Q223" s="45"/>
      <c r="R223" s="45"/>
      <c r="S223" s="45"/>
      <c r="T223" s="45"/>
      <c r="U223" s="45"/>
      <c r="V223" s="45"/>
      <c r="W223" s="45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41" t="s">
        <v>27</v>
      </c>
      <c r="B224" s="41" t="s">
        <v>42</v>
      </c>
      <c r="C224" s="41" t="s">
        <v>23</v>
      </c>
      <c r="D224" s="41" t="s">
        <v>43</v>
      </c>
      <c r="E224" s="41" t="s">
        <v>25</v>
      </c>
      <c r="F224" s="41" t="s">
        <v>25</v>
      </c>
      <c r="G224" s="41" t="s">
        <v>25</v>
      </c>
      <c r="H224" s="41" t="s">
        <v>25</v>
      </c>
      <c r="I224" s="60">
        <v>44440</v>
      </c>
      <c r="J224" s="61">
        <f>EFEITO!$J$224*EFEITO!$Y$74</f>
        <v>0</v>
      </c>
      <c r="K224" s="61">
        <f ca="1">EFEITO!$L$224*EFEITO!$Z$74</f>
        <v>-223.56279408721764</v>
      </c>
      <c r="L224" s="61">
        <f>EFEITO!$N$224*EFEITO!$AA$74</f>
        <v>-95.312749517515115</v>
      </c>
      <c r="M224" s="61">
        <f>$J$224-EFEITO!$K$224*EFEITO!$Y$224</f>
        <v>0</v>
      </c>
      <c r="N224" s="61">
        <f ca="1">$K$224-EFEITO!$M$224*EFEITO!$Z$224</f>
        <v>-13.413767645233065</v>
      </c>
      <c r="O224" s="61">
        <f>$L$224-EFEITO!$O$224*EFEITO!$AA$224</f>
        <v>-5.7187649710509163</v>
      </c>
      <c r="P224" s="45"/>
      <c r="Q224" s="45"/>
      <c r="R224" s="45"/>
      <c r="S224" s="45"/>
      <c r="T224" s="45"/>
      <c r="U224" s="45"/>
      <c r="V224" s="45"/>
      <c r="W224" s="45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41" t="s">
        <v>28</v>
      </c>
      <c r="B225" s="41" t="s">
        <v>42</v>
      </c>
      <c r="C225" s="41" t="s">
        <v>23</v>
      </c>
      <c r="D225" s="41" t="s">
        <v>43</v>
      </c>
      <c r="E225" s="41" t="s">
        <v>25</v>
      </c>
      <c r="F225" s="41" t="s">
        <v>25</v>
      </c>
      <c r="G225" s="41" t="s">
        <v>25</v>
      </c>
      <c r="H225" s="41" t="s">
        <v>25</v>
      </c>
      <c r="I225" s="60">
        <v>44440</v>
      </c>
      <c r="J225" s="61">
        <f>EFEITO!$J$225*EFEITO!$Y$74</f>
        <v>0</v>
      </c>
      <c r="K225" s="61">
        <f ca="1">EFEITO!$L$225*EFEITO!$Z$74</f>
        <v>889.77096003449742</v>
      </c>
      <c r="L225" s="61">
        <f>EFEITO!$N$225*EFEITO!$AA$74</f>
        <v>379.34092292942893</v>
      </c>
      <c r="M225" s="61">
        <f>$J$225-EFEITO!$K$225*EFEITO!$Y$225</f>
        <v>0</v>
      </c>
      <c r="N225" s="61">
        <f ca="1">$K$225-EFEITO!$M$225*EFEITO!$Z$225</f>
        <v>53.386257602069804</v>
      </c>
      <c r="O225" s="61">
        <f>$L$225-EFEITO!$O$225*EFEITO!$AA$225</f>
        <v>22.760455375765787</v>
      </c>
      <c r="P225" s="45"/>
      <c r="Q225" s="45"/>
      <c r="R225" s="45"/>
      <c r="S225" s="45"/>
      <c r="T225" s="45"/>
      <c r="U225" s="45"/>
      <c r="V225" s="45"/>
      <c r="W225" s="45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41" t="s">
        <v>21</v>
      </c>
      <c r="B226" s="41" t="s">
        <v>42</v>
      </c>
      <c r="C226" s="41" t="s">
        <v>23</v>
      </c>
      <c r="D226" s="41" t="s">
        <v>43</v>
      </c>
      <c r="E226" s="41" t="s">
        <v>25</v>
      </c>
      <c r="F226" s="41" t="s">
        <v>25</v>
      </c>
      <c r="G226" s="41" t="s">
        <v>25</v>
      </c>
      <c r="H226" s="41" t="s">
        <v>25</v>
      </c>
      <c r="I226" s="60">
        <v>44470</v>
      </c>
      <c r="J226" s="61">
        <f>EFEITO!$J$226*EFEITO!$Y$74</f>
        <v>0</v>
      </c>
      <c r="K226" s="61">
        <f ca="1">EFEITO!$L$226*EFEITO!$Z$74</f>
        <v>175279.05484558732</v>
      </c>
      <c r="L226" s="61">
        <f>EFEITO!$N$226*EFEITO!$AA$74</f>
        <v>74727.678719414675</v>
      </c>
      <c r="M226" s="61">
        <f>$J$226-EFEITO!$K$226*EFEITO!$Y$226</f>
        <v>0</v>
      </c>
      <c r="N226" s="61">
        <f ca="1">$K$226-EFEITO!$M$226*EFEITO!$Z$226</f>
        <v>10516.743290735263</v>
      </c>
      <c r="O226" s="61">
        <f>$L$226-EFEITO!$O$226*EFEITO!$AA$226</f>
        <v>4483.6607231648813</v>
      </c>
      <c r="P226" s="45"/>
      <c r="Q226" s="45"/>
      <c r="R226" s="45"/>
      <c r="S226" s="45"/>
      <c r="T226" s="45"/>
      <c r="U226" s="45"/>
      <c r="V226" s="45"/>
      <c r="W226" s="45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41" t="s">
        <v>27</v>
      </c>
      <c r="B227" s="41" t="s">
        <v>42</v>
      </c>
      <c r="C227" s="41" t="s">
        <v>23</v>
      </c>
      <c r="D227" s="41" t="s">
        <v>43</v>
      </c>
      <c r="E227" s="41" t="s">
        <v>25</v>
      </c>
      <c r="F227" s="41" t="s">
        <v>25</v>
      </c>
      <c r="G227" s="41" t="s">
        <v>25</v>
      </c>
      <c r="H227" s="41" t="s">
        <v>25</v>
      </c>
      <c r="I227" s="60">
        <v>44470</v>
      </c>
      <c r="J227" s="61">
        <f>EFEITO!$J$227*EFEITO!$Y$74</f>
        <v>0</v>
      </c>
      <c r="K227" s="61">
        <f ca="1">EFEITO!$L$227*EFEITO!$Z$74</f>
        <v>-68.54730960990841</v>
      </c>
      <c r="L227" s="61">
        <f>EFEITO!$N$227*EFEITO!$AA$74</f>
        <v>-29.224149651662952</v>
      </c>
      <c r="M227" s="61">
        <f>$J$227-EFEITO!$K$227*EFEITO!$Y$227</f>
        <v>0</v>
      </c>
      <c r="N227" s="61">
        <f ca="1">$K$227-EFEITO!$M$227*EFEITO!$Z$227</f>
        <v>-4.1128385765944984</v>
      </c>
      <c r="O227" s="61">
        <f>$L$227-EFEITO!$O$227*EFEITO!$AA$227</f>
        <v>-1.7534489790997796</v>
      </c>
      <c r="P227" s="45"/>
      <c r="Q227" s="45"/>
      <c r="R227" s="45"/>
      <c r="S227" s="45"/>
      <c r="T227" s="45"/>
      <c r="U227" s="45"/>
      <c r="V227" s="45"/>
      <c r="W227" s="45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41" t="s">
        <v>28</v>
      </c>
      <c r="B228" s="41" t="s">
        <v>42</v>
      </c>
      <c r="C228" s="41" t="s">
        <v>23</v>
      </c>
      <c r="D228" s="41" t="s">
        <v>43</v>
      </c>
      <c r="E228" s="41" t="s">
        <v>25</v>
      </c>
      <c r="F228" s="41" t="s">
        <v>25</v>
      </c>
      <c r="G228" s="41" t="s">
        <v>25</v>
      </c>
      <c r="H228" s="41" t="s">
        <v>25</v>
      </c>
      <c r="I228" s="60">
        <v>44470</v>
      </c>
      <c r="J228" s="61">
        <f>EFEITO!$J$228*EFEITO!$Y$74</f>
        <v>0</v>
      </c>
      <c r="K228" s="61">
        <f ca="1">EFEITO!$L$228*EFEITO!$Z$74</f>
        <v>1100.3411268100331</v>
      </c>
      <c r="L228" s="61">
        <f>EFEITO!$N$228*EFEITO!$AA$74</f>
        <v>469.1144545391125</v>
      </c>
      <c r="M228" s="61">
        <f>$J$228-EFEITO!$K$228*EFEITO!$Y$228</f>
        <v>0</v>
      </c>
      <c r="N228" s="61">
        <f ca="1">$K$228-EFEITO!$M$228*EFEITO!$Z$228</f>
        <v>66.020467608601848</v>
      </c>
      <c r="O228" s="61">
        <f>$L$228-EFEITO!$O$228*EFEITO!$AA$228</f>
        <v>28.14686727234681</v>
      </c>
      <c r="P228" s="45"/>
      <c r="Q228" s="45"/>
      <c r="R228" s="45"/>
      <c r="S228" s="45"/>
      <c r="T228" s="45"/>
      <c r="U228" s="45"/>
      <c r="V228" s="45"/>
      <c r="W228" s="45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41" t="s">
        <v>21</v>
      </c>
      <c r="B229" s="41" t="s">
        <v>42</v>
      </c>
      <c r="C229" s="41" t="s">
        <v>23</v>
      </c>
      <c r="D229" s="41" t="s">
        <v>43</v>
      </c>
      <c r="E229" s="41" t="s">
        <v>25</v>
      </c>
      <c r="F229" s="41" t="s">
        <v>25</v>
      </c>
      <c r="G229" s="41" t="s">
        <v>25</v>
      </c>
      <c r="H229" s="41" t="s">
        <v>25</v>
      </c>
      <c r="I229" s="60">
        <v>44501</v>
      </c>
      <c r="J229" s="61">
        <f>EFEITO!$J$229*EFEITO!$Y$74</f>
        <v>0</v>
      </c>
      <c r="K229" s="61">
        <f ca="1">EFEITO!$L$229*EFEITO!$Z$74</f>
        <v>224835.17552049959</v>
      </c>
      <c r="L229" s="61">
        <f>EFEITO!$N$229*EFEITO!$AA$74</f>
        <v>95855.210857454484</v>
      </c>
      <c r="M229" s="61">
        <f>$J$229-EFEITO!$K$229*EFEITO!$Y$229</f>
        <v>0</v>
      </c>
      <c r="N229" s="61">
        <f ca="1">$K$229-EFEITO!$M$229*EFEITO!$Z$229</f>
        <v>13490.110531229962</v>
      </c>
      <c r="O229" s="61">
        <f>$L$229-EFEITO!$O$229*EFEITO!$AA$229</f>
        <v>5751.3126514472824</v>
      </c>
      <c r="P229" s="45"/>
      <c r="Q229" s="45"/>
      <c r="R229" s="45"/>
      <c r="S229" s="45"/>
      <c r="T229" s="45"/>
      <c r="U229" s="45"/>
      <c r="V229" s="45"/>
      <c r="W229" s="45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41" t="s">
        <v>28</v>
      </c>
      <c r="B230" s="41" t="s">
        <v>42</v>
      </c>
      <c r="C230" s="41" t="s">
        <v>23</v>
      </c>
      <c r="D230" s="41" t="s">
        <v>43</v>
      </c>
      <c r="E230" s="41" t="s">
        <v>25</v>
      </c>
      <c r="F230" s="41" t="s">
        <v>25</v>
      </c>
      <c r="G230" s="41" t="s">
        <v>25</v>
      </c>
      <c r="H230" s="41" t="s">
        <v>25</v>
      </c>
      <c r="I230" s="60">
        <v>44501</v>
      </c>
      <c r="J230" s="61">
        <f>EFEITO!$J$230*EFEITO!$Y$74</f>
        <v>0</v>
      </c>
      <c r="K230" s="61">
        <f ca="1">EFEITO!$L$230*EFEITO!$Z$74</f>
        <v>2866.8904195673463</v>
      </c>
      <c r="L230" s="61">
        <f>EFEITO!$N$230*EFEITO!$AA$74</f>
        <v>1222.2570824901388</v>
      </c>
      <c r="M230" s="61">
        <f>$J$230-EFEITO!$K$230*EFEITO!$Y$230</f>
        <v>0</v>
      </c>
      <c r="N230" s="61">
        <f ca="1">$K$230-EFEITO!$M$230*EFEITO!$Z$230</f>
        <v>172.013425174041</v>
      </c>
      <c r="O230" s="61">
        <f>$L$230-EFEITO!$O$230*EFEITO!$AA$230</f>
        <v>73.335424949408434</v>
      </c>
      <c r="P230" s="45"/>
      <c r="Q230" s="45"/>
      <c r="R230" s="45"/>
      <c r="S230" s="45"/>
      <c r="T230" s="45"/>
      <c r="U230" s="45"/>
      <c r="V230" s="45"/>
      <c r="W230" s="45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41" t="s">
        <v>21</v>
      </c>
      <c r="B231" s="41" t="s">
        <v>42</v>
      </c>
      <c r="C231" s="41" t="s">
        <v>23</v>
      </c>
      <c r="D231" s="41" t="s">
        <v>43</v>
      </c>
      <c r="E231" s="41" t="s">
        <v>25</v>
      </c>
      <c r="F231" s="41" t="s">
        <v>25</v>
      </c>
      <c r="G231" s="41" t="s">
        <v>25</v>
      </c>
      <c r="H231" s="41" t="s">
        <v>25</v>
      </c>
      <c r="I231" s="60">
        <v>44531</v>
      </c>
      <c r="J231" s="61">
        <f>EFEITO!$J$231*EFEITO!$Y$74</f>
        <v>0</v>
      </c>
      <c r="K231" s="61">
        <f ca="1">EFEITO!$L$231*EFEITO!$Z$74</f>
        <v>237740.88663568272</v>
      </c>
      <c r="L231" s="61">
        <f>EFEITO!$N$231*EFEITO!$AA$74</f>
        <v>101357.37330755776</v>
      </c>
      <c r="M231" s="61">
        <f>$J$231-EFEITO!$K$231*EFEITO!$Y$231</f>
        <v>0</v>
      </c>
      <c r="N231" s="61">
        <f ca="1">$K$231-EFEITO!$M$231*EFEITO!$Z$231</f>
        <v>14264.453198140953</v>
      </c>
      <c r="O231" s="61">
        <f>$L$231-EFEITO!$O$231*EFEITO!$AA$231</f>
        <v>6081.442398453466</v>
      </c>
      <c r="P231" s="45"/>
      <c r="Q231" s="45"/>
      <c r="R231" s="45"/>
      <c r="S231" s="45"/>
      <c r="T231" s="45"/>
      <c r="U231" s="45"/>
      <c r="V231" s="45"/>
      <c r="W231" s="45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41" t="s">
        <v>27</v>
      </c>
      <c r="B232" s="41" t="s">
        <v>42</v>
      </c>
      <c r="C232" s="41" t="s">
        <v>23</v>
      </c>
      <c r="D232" s="41" t="s">
        <v>43</v>
      </c>
      <c r="E232" s="41" t="s">
        <v>25</v>
      </c>
      <c r="F232" s="41" t="s">
        <v>25</v>
      </c>
      <c r="G232" s="41" t="s">
        <v>25</v>
      </c>
      <c r="H232" s="41" t="s">
        <v>25</v>
      </c>
      <c r="I232" s="60">
        <v>44531</v>
      </c>
      <c r="J232" s="61">
        <f>EFEITO!$J$232*EFEITO!$Y$74</f>
        <v>0</v>
      </c>
      <c r="K232" s="61">
        <f ca="1">EFEITO!$L$232*EFEITO!$Z$74</f>
        <v>-275.9813249653829</v>
      </c>
      <c r="L232" s="61">
        <f>EFEITO!$N$232*EFEITO!$AA$74</f>
        <v>-117.66062866290443</v>
      </c>
      <c r="M232" s="61">
        <f>$J$232-EFEITO!$K$232*EFEITO!$Y$232</f>
        <v>0</v>
      </c>
      <c r="N232" s="61">
        <f ca="1">$K$232-EFEITO!$M$232*EFEITO!$Z$232</f>
        <v>-16.558879497922987</v>
      </c>
      <c r="O232" s="61">
        <f>$L$232-EFEITO!$O$232*EFEITO!$AA$232</f>
        <v>-7.0596377197742726</v>
      </c>
      <c r="P232" s="45"/>
      <c r="Q232" s="45"/>
      <c r="R232" s="45"/>
      <c r="S232" s="45"/>
      <c r="T232" s="45"/>
      <c r="U232" s="45"/>
      <c r="V232" s="45"/>
      <c r="W232" s="45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41" t="s">
        <v>28</v>
      </c>
      <c r="B233" s="41" t="s">
        <v>42</v>
      </c>
      <c r="C233" s="41" t="s">
        <v>23</v>
      </c>
      <c r="D233" s="41" t="s">
        <v>43</v>
      </c>
      <c r="E233" s="41" t="s">
        <v>25</v>
      </c>
      <c r="F233" s="41" t="s">
        <v>25</v>
      </c>
      <c r="G233" s="41" t="s">
        <v>25</v>
      </c>
      <c r="H233" s="41" t="s">
        <v>25</v>
      </c>
      <c r="I233" s="60">
        <v>44531</v>
      </c>
      <c r="J233" s="61">
        <f>EFEITO!$J$233*EFEITO!$Y$74</f>
        <v>0</v>
      </c>
      <c r="K233" s="61">
        <f ca="1">EFEITO!$L$233*EFEITO!$Z$74</f>
        <v>5271.4225154913884</v>
      </c>
      <c r="L233" s="61">
        <f>EFEITO!$N$233*EFEITO!$AA$74</f>
        <v>2247.3944104671</v>
      </c>
      <c r="M233" s="61">
        <f>$J$233-EFEITO!$K$233*EFEITO!$Y$233</f>
        <v>0</v>
      </c>
      <c r="N233" s="61">
        <f ca="1">$K$233-EFEITO!$M$233*EFEITO!$Z$233</f>
        <v>316.28535092948368</v>
      </c>
      <c r="O233" s="61">
        <f>$L$233-EFEITO!$O$233*EFEITO!$AA$233</f>
        <v>134.84366462802609</v>
      </c>
      <c r="P233" s="45"/>
      <c r="Q233" s="45"/>
      <c r="R233" s="45"/>
      <c r="S233" s="45"/>
      <c r="T233" s="45"/>
      <c r="U233" s="45"/>
      <c r="V233" s="45"/>
      <c r="W233" s="45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41" t="s">
        <v>21</v>
      </c>
      <c r="B234" s="41" t="s">
        <v>42</v>
      </c>
      <c r="C234" s="41" t="s">
        <v>23</v>
      </c>
      <c r="D234" s="41" t="s">
        <v>43</v>
      </c>
      <c r="E234" s="41" t="s">
        <v>25</v>
      </c>
      <c r="F234" s="41" t="s">
        <v>25</v>
      </c>
      <c r="G234" s="41" t="s">
        <v>25</v>
      </c>
      <c r="H234" s="41" t="s">
        <v>25</v>
      </c>
      <c r="I234" s="60">
        <v>44562</v>
      </c>
      <c r="J234" s="61">
        <f>EFEITO!$J$234*EFEITO!$Y$74</f>
        <v>0</v>
      </c>
      <c r="K234" s="61">
        <f ca="1">EFEITO!$L$234*EFEITO!$Z$74</f>
        <v>235882.49290848081</v>
      </c>
      <c r="L234" s="61">
        <f>EFEITO!$N$234*EFEITO!$AA$74</f>
        <v>100565.07413922381</v>
      </c>
      <c r="M234" s="61">
        <f>$J$234-EFEITO!$K$234*EFEITO!$Y$234</f>
        <v>0</v>
      </c>
      <c r="N234" s="61">
        <f ca="1">$K$234-EFEITO!$M$234*EFEITO!$Z$234</f>
        <v>14152.94957450885</v>
      </c>
      <c r="O234" s="61">
        <f>$L$234-EFEITO!$O$234*EFEITO!$AA$234</f>
        <v>6033.9044483534381</v>
      </c>
      <c r="P234" s="45"/>
      <c r="Q234" s="45"/>
      <c r="R234" s="45"/>
      <c r="S234" s="45"/>
      <c r="T234" s="45"/>
      <c r="U234" s="45"/>
      <c r="V234" s="45"/>
      <c r="W234" s="45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41" t="s">
        <v>27</v>
      </c>
      <c r="B235" s="41" t="s">
        <v>42</v>
      </c>
      <c r="C235" s="41" t="s">
        <v>23</v>
      </c>
      <c r="D235" s="41" t="s">
        <v>43</v>
      </c>
      <c r="E235" s="41" t="s">
        <v>25</v>
      </c>
      <c r="F235" s="41" t="s">
        <v>25</v>
      </c>
      <c r="G235" s="41" t="s">
        <v>25</v>
      </c>
      <c r="H235" s="41" t="s">
        <v>25</v>
      </c>
      <c r="I235" s="60">
        <v>44562</v>
      </c>
      <c r="J235" s="61">
        <f>EFEITO!$J$235*EFEITO!$Y$74</f>
        <v>0</v>
      </c>
      <c r="K235" s="61">
        <f ca="1">EFEITO!$L$235*EFEITO!$Z$74</f>
        <v>-149.19120326862421</v>
      </c>
      <c r="L235" s="61">
        <f>EFEITO!$N$235*EFEITO!$AA$74</f>
        <v>-63.605502183031135</v>
      </c>
      <c r="M235" s="61">
        <f>$J$235-EFEITO!$K$235*EFEITO!$Y$235</f>
        <v>0</v>
      </c>
      <c r="N235" s="61">
        <f ca="1">$K$235-EFEITO!$M$235*EFEITO!$Z$235</f>
        <v>-8.9514721961174644</v>
      </c>
      <c r="O235" s="61">
        <f>$L$235-EFEITO!$O$235*EFEITO!$AA$235</f>
        <v>-3.8163301309818749</v>
      </c>
      <c r="P235" s="45"/>
      <c r="Q235" s="45"/>
      <c r="R235" s="45"/>
      <c r="S235" s="45"/>
      <c r="T235" s="45"/>
      <c r="U235" s="45"/>
      <c r="V235" s="45"/>
      <c r="W235" s="45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41" t="s">
        <v>28</v>
      </c>
      <c r="B236" s="41" t="s">
        <v>42</v>
      </c>
      <c r="C236" s="41" t="s">
        <v>23</v>
      </c>
      <c r="D236" s="41" t="s">
        <v>43</v>
      </c>
      <c r="E236" s="41" t="s">
        <v>25</v>
      </c>
      <c r="F236" s="41" t="s">
        <v>25</v>
      </c>
      <c r="G236" s="41" t="s">
        <v>25</v>
      </c>
      <c r="H236" s="41" t="s">
        <v>25</v>
      </c>
      <c r="I236" s="60">
        <v>44562</v>
      </c>
      <c r="J236" s="61">
        <f>EFEITO!$J$236*EFEITO!$Y$74</f>
        <v>0</v>
      </c>
      <c r="K236" s="61">
        <f ca="1">EFEITO!$L$236*EFEITO!$Z$74</f>
        <v>2723.5234975074068</v>
      </c>
      <c r="L236" s="61">
        <f>EFEITO!$N$236*EFEITO!$AA$74</f>
        <v>1161.1346779899286</v>
      </c>
      <c r="M236" s="61">
        <f>$J$236-EFEITO!$K$236*EFEITO!$Y$236</f>
        <v>0</v>
      </c>
      <c r="N236" s="61">
        <f ca="1">$K$236-EFEITO!$M$236*EFEITO!$Z$236</f>
        <v>163.41140985044422</v>
      </c>
      <c r="O236" s="61">
        <f>$L$236-EFEITO!$O$236*EFEITO!$AA$236</f>
        <v>69.668080679395871</v>
      </c>
      <c r="P236" s="45"/>
      <c r="Q236" s="45"/>
      <c r="R236" s="45"/>
      <c r="S236" s="45"/>
      <c r="T236" s="45"/>
      <c r="U236" s="45"/>
      <c r="V236" s="45"/>
      <c r="W236" s="45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41" t="s">
        <v>21</v>
      </c>
      <c r="B237" s="41" t="s">
        <v>42</v>
      </c>
      <c r="C237" s="41" t="s">
        <v>23</v>
      </c>
      <c r="D237" s="41" t="s">
        <v>43</v>
      </c>
      <c r="E237" s="41" t="s">
        <v>25</v>
      </c>
      <c r="F237" s="41" t="s">
        <v>25</v>
      </c>
      <c r="G237" s="41" t="s">
        <v>25</v>
      </c>
      <c r="H237" s="41" t="s">
        <v>25</v>
      </c>
      <c r="I237" s="60">
        <v>44593</v>
      </c>
      <c r="J237" s="61">
        <f>EFEITO!$J$237*EFEITO!$Y$74</f>
        <v>0</v>
      </c>
      <c r="K237" s="61">
        <f ca="1">EFEITO!$L$237*EFEITO!$Z$74</f>
        <v>236134.28106534854</v>
      </c>
      <c r="L237" s="61">
        <f>EFEITO!$N$237*EFEITO!$AA$74</f>
        <v>100672.42036212728</v>
      </c>
      <c r="M237" s="61">
        <f>$J$237-EFEITO!$K$237*EFEITO!$Y$237</f>
        <v>0</v>
      </c>
      <c r="N237" s="61">
        <f ca="1">$K$237-EFEITO!$M$237*EFEITO!$Z$237</f>
        <v>14168.056863920909</v>
      </c>
      <c r="O237" s="61">
        <f>$L$237-EFEITO!$O$237*EFEITO!$AA$237</f>
        <v>6040.3452217276354</v>
      </c>
      <c r="P237" s="45"/>
      <c r="Q237" s="45"/>
      <c r="R237" s="45"/>
      <c r="S237" s="45"/>
      <c r="T237" s="45"/>
      <c r="U237" s="45"/>
      <c r="V237" s="45"/>
      <c r="W237" s="45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41" t="s">
        <v>27</v>
      </c>
      <c r="B238" s="41" t="s">
        <v>42</v>
      </c>
      <c r="C238" s="41" t="s">
        <v>23</v>
      </c>
      <c r="D238" s="41" t="s">
        <v>43</v>
      </c>
      <c r="E238" s="41" t="s">
        <v>25</v>
      </c>
      <c r="F238" s="41" t="s">
        <v>25</v>
      </c>
      <c r="G238" s="41" t="s">
        <v>25</v>
      </c>
      <c r="H238" s="41" t="s">
        <v>25</v>
      </c>
      <c r="I238" s="60">
        <v>44593</v>
      </c>
      <c r="J238" s="61">
        <f>EFEITO!$J$238*EFEITO!$Y$74</f>
        <v>0</v>
      </c>
      <c r="K238" s="61">
        <f ca="1">EFEITO!$L$238*EFEITO!$Z$74</f>
        <v>-1122.2941867504612</v>
      </c>
      <c r="L238" s="61">
        <f>EFEITO!$N$238*EFEITO!$AA$74</f>
        <v>-478.47382272820715</v>
      </c>
      <c r="M238" s="61">
        <f>$J$238-EFEITO!$K$238*EFEITO!$Y$238</f>
        <v>0</v>
      </c>
      <c r="N238" s="61">
        <f ca="1">$K$238-EFEITO!$M$238*EFEITO!$Z$238</f>
        <v>-67.337651205027669</v>
      </c>
      <c r="O238" s="61">
        <f>$L$238-EFEITO!$O$238*EFEITO!$AA$238</f>
        <v>-28.70842936369246</v>
      </c>
      <c r="P238" s="45"/>
      <c r="Q238" s="45"/>
      <c r="R238" s="45"/>
      <c r="S238" s="45"/>
      <c r="T238" s="45"/>
      <c r="U238" s="45"/>
      <c r="V238" s="45"/>
      <c r="W238" s="45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41" t="s">
        <v>28</v>
      </c>
      <c r="B239" s="41" t="s">
        <v>42</v>
      </c>
      <c r="C239" s="41" t="s">
        <v>23</v>
      </c>
      <c r="D239" s="41" t="s">
        <v>43</v>
      </c>
      <c r="E239" s="41" t="s">
        <v>25</v>
      </c>
      <c r="F239" s="41" t="s">
        <v>25</v>
      </c>
      <c r="G239" s="41" t="s">
        <v>25</v>
      </c>
      <c r="H239" s="41" t="s">
        <v>25</v>
      </c>
      <c r="I239" s="60">
        <v>44593</v>
      </c>
      <c r="J239" s="61">
        <f>EFEITO!$J$239*EFEITO!$Y$74</f>
        <v>0</v>
      </c>
      <c r="K239" s="61">
        <f ca="1">EFEITO!$L$239*EFEITO!$Z$74</f>
        <v>945.32564233272387</v>
      </c>
      <c r="L239" s="61">
        <f>EFEITO!$N$239*EFEITO!$AA$74</f>
        <v>403.02585467326031</v>
      </c>
      <c r="M239" s="61">
        <f>$J$239-EFEITO!$K$239*EFEITO!$Y$239</f>
        <v>0</v>
      </c>
      <c r="N239" s="61">
        <f ca="1">$K$239-EFEITO!$M$239*EFEITO!$Z$239</f>
        <v>56.719538539963423</v>
      </c>
      <c r="O239" s="61">
        <f>$L$239-EFEITO!$O$239*EFEITO!$AA$239</f>
        <v>24.181551280395638</v>
      </c>
      <c r="P239" s="45"/>
      <c r="Q239" s="45"/>
      <c r="R239" s="45"/>
      <c r="S239" s="45"/>
      <c r="T239" s="45"/>
      <c r="U239" s="45"/>
      <c r="V239" s="45"/>
      <c r="W239" s="45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41" t="s">
        <v>21</v>
      </c>
      <c r="B240" s="41" t="s">
        <v>42</v>
      </c>
      <c r="C240" s="41" t="s">
        <v>23</v>
      </c>
      <c r="D240" s="41" t="s">
        <v>43</v>
      </c>
      <c r="E240" s="41" t="s">
        <v>25</v>
      </c>
      <c r="F240" s="41" t="s">
        <v>25</v>
      </c>
      <c r="G240" s="41" t="s">
        <v>25</v>
      </c>
      <c r="H240" s="41" t="s">
        <v>25</v>
      </c>
      <c r="I240" s="60">
        <v>44621</v>
      </c>
      <c r="J240" s="61">
        <f>EFEITO!$J$240*EFEITO!$Y$74</f>
        <v>0</v>
      </c>
      <c r="K240" s="61">
        <f ca="1">EFEITO!$L$240*EFEITO!$Z$74</f>
        <v>207741.80621627191</v>
      </c>
      <c r="L240" s="61">
        <f>EFEITO!$N$240*EFEITO!$AA$74</f>
        <v>88567.701173402878</v>
      </c>
      <c r="M240" s="61">
        <f>$J$240-EFEITO!$K$240*EFEITO!$Y$240</f>
        <v>0</v>
      </c>
      <c r="N240" s="61">
        <f ca="1">$K$240-EFEITO!$M$240*EFEITO!$Z$240</f>
        <v>12464.508372976299</v>
      </c>
      <c r="O240" s="61">
        <f>$L$240-EFEITO!$O$240*EFEITO!$AA$240</f>
        <v>5314.0620704041794</v>
      </c>
      <c r="P240" s="45"/>
      <c r="Q240" s="45"/>
      <c r="R240" s="45"/>
      <c r="S240" s="45"/>
      <c r="T240" s="45"/>
      <c r="U240" s="45"/>
      <c r="V240" s="45"/>
      <c r="W240" s="45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41" t="s">
        <v>27</v>
      </c>
      <c r="B241" s="41" t="s">
        <v>42</v>
      </c>
      <c r="C241" s="41" t="s">
        <v>23</v>
      </c>
      <c r="D241" s="41" t="s">
        <v>43</v>
      </c>
      <c r="E241" s="41" t="s">
        <v>25</v>
      </c>
      <c r="F241" s="41" t="s">
        <v>25</v>
      </c>
      <c r="G241" s="41" t="s">
        <v>25</v>
      </c>
      <c r="H241" s="41" t="s">
        <v>25</v>
      </c>
      <c r="I241" s="60">
        <v>44621</v>
      </c>
      <c r="J241" s="61">
        <f>EFEITO!$J$241*EFEITO!$Y$74</f>
        <v>0</v>
      </c>
      <c r="K241" s="61">
        <f ca="1">EFEITO!$L$241*EFEITO!$Z$74</f>
        <v>-239.24355118752351</v>
      </c>
      <c r="L241" s="61">
        <f>EFEITO!$N$241*EFEITO!$AA$74</f>
        <v>-101.9980125097256</v>
      </c>
      <c r="M241" s="61">
        <f>$J$241-EFEITO!$K$241*EFEITO!$Y$241</f>
        <v>0</v>
      </c>
      <c r="N241" s="61">
        <f ca="1">$K$241-EFEITO!$M$241*EFEITO!$Z$241</f>
        <v>-14.354613071251407</v>
      </c>
      <c r="O241" s="61">
        <f>$L$241-EFEITO!$O$241*EFEITO!$AA$241</f>
        <v>-6.1198807505835333</v>
      </c>
      <c r="P241" s="45"/>
      <c r="Q241" s="45"/>
      <c r="R241" s="45"/>
      <c r="S241" s="45"/>
      <c r="T241" s="45"/>
      <c r="U241" s="45"/>
      <c r="V241" s="45"/>
      <c r="W241" s="45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41" t="s">
        <v>28</v>
      </c>
      <c r="B242" s="41" t="s">
        <v>42</v>
      </c>
      <c r="C242" s="41" t="s">
        <v>23</v>
      </c>
      <c r="D242" s="41" t="s">
        <v>43</v>
      </c>
      <c r="E242" s="41" t="s">
        <v>25</v>
      </c>
      <c r="F242" s="41" t="s">
        <v>25</v>
      </c>
      <c r="G242" s="41" t="s">
        <v>25</v>
      </c>
      <c r="H242" s="41" t="s">
        <v>25</v>
      </c>
      <c r="I242" s="60">
        <v>44621</v>
      </c>
      <c r="J242" s="61">
        <f>EFEITO!$J$242*EFEITO!$Y$74</f>
        <v>0</v>
      </c>
      <c r="K242" s="61">
        <f ca="1">EFEITO!$L$242*EFEITO!$Z$74</f>
        <v>1216.8267509837337</v>
      </c>
      <c r="L242" s="61">
        <f>EFEITO!$N$242*EFEITO!$AA$74</f>
        <v>518.77640819553324</v>
      </c>
      <c r="M242" s="61">
        <f>$J$242-EFEITO!$K$242*EFEITO!$Y$242</f>
        <v>0</v>
      </c>
      <c r="N242" s="61">
        <f ca="1">$K$242-EFEITO!$M$242*EFEITO!$Z$242</f>
        <v>73.009605059023897</v>
      </c>
      <c r="O242" s="61">
        <f>$L$242-EFEITO!$O$242*EFEITO!$AA$242</f>
        <v>31.126584491732046</v>
      </c>
      <c r="P242" s="45"/>
      <c r="Q242" s="45"/>
      <c r="R242" s="45"/>
      <c r="S242" s="45"/>
      <c r="T242" s="45"/>
      <c r="U242" s="45"/>
      <c r="V242" s="45"/>
      <c r="W242" s="45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41" t="s">
        <v>21</v>
      </c>
      <c r="B243" s="41" t="s">
        <v>42</v>
      </c>
      <c r="C243" s="41" t="s">
        <v>23</v>
      </c>
      <c r="D243" s="41" t="s">
        <v>43</v>
      </c>
      <c r="E243" s="41" t="s">
        <v>25</v>
      </c>
      <c r="F243" s="41" t="s">
        <v>25</v>
      </c>
      <c r="G243" s="41" t="s">
        <v>25</v>
      </c>
      <c r="H243" s="41" t="s">
        <v>25</v>
      </c>
      <c r="I243" s="60">
        <v>44652</v>
      </c>
      <c r="J243" s="61">
        <f>EFEITO!$J$243*EFEITO!$Y$74</f>
        <v>0</v>
      </c>
      <c r="K243" s="61">
        <f ca="1">EFEITO!$L$243*EFEITO!$Z$74</f>
        <v>225814.1027851901</v>
      </c>
      <c r="L243" s="61">
        <f>EFEITO!$N$243*EFEITO!$AA$74</f>
        <v>96272.562275682474</v>
      </c>
      <c r="M243" s="61">
        <f>$J$243-EFEITO!$K$243*EFEITO!$Y$243</f>
        <v>0</v>
      </c>
      <c r="N243" s="61">
        <f ca="1">$K$243-EFEITO!$M$243*EFEITO!$Z$243</f>
        <v>13548.846167111391</v>
      </c>
      <c r="O243" s="61">
        <f>$L$243-EFEITO!$O$243*EFEITO!$AA$243</f>
        <v>5776.3537365409575</v>
      </c>
      <c r="P243" s="45"/>
      <c r="Q243" s="45"/>
      <c r="R243" s="45"/>
      <c r="S243" s="45"/>
      <c r="T243" s="45"/>
      <c r="U243" s="45"/>
      <c r="V243" s="45"/>
      <c r="W243" s="45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41" t="s">
        <v>27</v>
      </c>
      <c r="B244" s="41" t="s">
        <v>42</v>
      </c>
      <c r="C244" s="41" t="s">
        <v>23</v>
      </c>
      <c r="D244" s="41" t="s">
        <v>43</v>
      </c>
      <c r="E244" s="41" t="s">
        <v>25</v>
      </c>
      <c r="F244" s="41" t="s">
        <v>25</v>
      </c>
      <c r="G244" s="41" t="s">
        <v>25</v>
      </c>
      <c r="H244" s="41" t="s">
        <v>25</v>
      </c>
      <c r="I244" s="60">
        <v>44652</v>
      </c>
      <c r="J244" s="61">
        <f>EFEITO!$J$244*EFEITO!$Y$74</f>
        <v>0</v>
      </c>
      <c r="K244" s="61">
        <f ca="1">EFEITO!$L$244*EFEITO!$Z$74</f>
        <v>-44.802163143730994</v>
      </c>
      <c r="L244" s="61">
        <f>EFEITO!$N$244*EFEITO!$AA$74</f>
        <v>-19.100751406315656</v>
      </c>
      <c r="M244" s="61">
        <f>$J$244-EFEITO!$K$244*EFEITO!$Y$244</f>
        <v>0</v>
      </c>
      <c r="N244" s="61">
        <f ca="1">$K$244-EFEITO!$M$244*EFEITO!$Z$244</f>
        <v>-2.6881297886238613</v>
      </c>
      <c r="O244" s="61">
        <f>$L$244-EFEITO!$O$244*EFEITO!$AA$244</f>
        <v>-1.1460450843789403</v>
      </c>
      <c r="P244" s="45"/>
      <c r="Q244" s="45"/>
      <c r="R244" s="45"/>
      <c r="S244" s="45"/>
      <c r="T244" s="45"/>
      <c r="U244" s="45"/>
      <c r="V244" s="45"/>
      <c r="W244" s="45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41" t="s">
        <v>28</v>
      </c>
      <c r="B245" s="41" t="s">
        <v>42</v>
      </c>
      <c r="C245" s="41" t="s">
        <v>23</v>
      </c>
      <c r="D245" s="41" t="s">
        <v>43</v>
      </c>
      <c r="E245" s="41" t="s">
        <v>25</v>
      </c>
      <c r="F245" s="41" t="s">
        <v>25</v>
      </c>
      <c r="G245" s="41" t="s">
        <v>25</v>
      </c>
      <c r="H245" s="41" t="s">
        <v>25</v>
      </c>
      <c r="I245" s="60">
        <v>44652</v>
      </c>
      <c r="J245" s="61">
        <f>EFEITO!$J$245*EFEITO!$Y$74</f>
        <v>0</v>
      </c>
      <c r="K245" s="61">
        <f ca="1">EFEITO!$L$245*EFEITO!$Z$74</f>
        <v>1383.0427762469758</v>
      </c>
      <c r="L245" s="61">
        <f>EFEITO!$N$245*EFEITO!$AA$74</f>
        <v>589.64019591296426</v>
      </c>
      <c r="M245" s="61">
        <f>$J$245-EFEITO!$K$245*EFEITO!$Y$245</f>
        <v>0</v>
      </c>
      <c r="N245" s="61">
        <f ca="1">$K$245-EFEITO!$M$245*EFEITO!$Z$245</f>
        <v>82.98256657481852</v>
      </c>
      <c r="O245" s="61">
        <f>$L$245-EFEITO!$O$245*EFEITO!$AA$245</f>
        <v>35.378411754777858</v>
      </c>
      <c r="P245" s="45"/>
      <c r="Q245" s="45"/>
      <c r="R245" s="45"/>
      <c r="S245" s="45"/>
      <c r="T245" s="45"/>
      <c r="U245" s="45"/>
      <c r="V245" s="45"/>
      <c r="W245" s="45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41" t="s">
        <v>21</v>
      </c>
      <c r="B246" s="41" t="s">
        <v>42</v>
      </c>
      <c r="C246" s="41" t="s">
        <v>23</v>
      </c>
      <c r="D246" s="41" t="s">
        <v>43</v>
      </c>
      <c r="E246" s="41" t="s">
        <v>25</v>
      </c>
      <c r="F246" s="41" t="s">
        <v>25</v>
      </c>
      <c r="G246" s="41" t="s">
        <v>25</v>
      </c>
      <c r="H246" s="41" t="s">
        <v>25</v>
      </c>
      <c r="I246" s="60">
        <v>44682</v>
      </c>
      <c r="J246" s="61">
        <f>EFEITO!$J$246*EFEITO!$Y$74</f>
        <v>0</v>
      </c>
      <c r="K246" s="61">
        <f ca="1">EFEITO!$L$246*EFEITO!$Z$74</f>
        <v>181300.91359373622</v>
      </c>
      <c r="L246" s="61">
        <f>EFEITO!$N$246*EFEITO!$AA$74</f>
        <v>77295.010715937562</v>
      </c>
      <c r="M246" s="61">
        <f>$J$246-EFEITO!$K$246*EFEITO!$Y$246</f>
        <v>0</v>
      </c>
      <c r="N246" s="61">
        <f ca="1">$K$246-EFEITO!$M$246*EFEITO!$Z$246</f>
        <v>10878.054815624171</v>
      </c>
      <c r="O246" s="61">
        <f>$L$246-EFEITO!$O$246*EFEITO!$AA$246</f>
        <v>4637.7006429562607</v>
      </c>
      <c r="P246" s="45"/>
      <c r="Q246" s="45"/>
      <c r="R246" s="45"/>
      <c r="S246" s="45"/>
      <c r="T246" s="45"/>
      <c r="U246" s="45"/>
      <c r="V246" s="45"/>
      <c r="W246" s="45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41" t="s">
        <v>27</v>
      </c>
      <c r="B247" s="41" t="s">
        <v>42</v>
      </c>
      <c r="C247" s="41" t="s">
        <v>23</v>
      </c>
      <c r="D247" s="41" t="s">
        <v>43</v>
      </c>
      <c r="E247" s="41" t="s">
        <v>25</v>
      </c>
      <c r="F247" s="41" t="s">
        <v>25</v>
      </c>
      <c r="G247" s="41" t="s">
        <v>25</v>
      </c>
      <c r="H247" s="41" t="s">
        <v>25</v>
      </c>
      <c r="I247" s="60">
        <v>44682</v>
      </c>
      <c r="J247" s="61">
        <f>EFEITO!$J$247*EFEITO!$Y$74</f>
        <v>0</v>
      </c>
      <c r="K247" s="61">
        <f ca="1">EFEITO!$L$247*EFEITO!$Z$74</f>
        <v>-71.235439398532279</v>
      </c>
      <c r="L247" s="61">
        <f>EFEITO!$N$247*EFEITO!$AA$74</f>
        <v>-30.370194736041892</v>
      </c>
      <c r="M247" s="61">
        <f>$J$247-EFEITO!$K$247*EFEITO!$Y$247</f>
        <v>0</v>
      </c>
      <c r="N247" s="61">
        <f ca="1">$K$247-EFEITO!$M$247*EFEITO!$Z$247</f>
        <v>-4.2741263639119467</v>
      </c>
      <c r="O247" s="61">
        <f>$L$247-EFEITO!$O$247*EFEITO!$AA$247</f>
        <v>-1.8222116841625144</v>
      </c>
      <c r="P247" s="45"/>
      <c r="Q247" s="45"/>
      <c r="R247" s="45"/>
      <c r="S247" s="45"/>
      <c r="T247" s="45"/>
      <c r="U247" s="45"/>
      <c r="V247" s="45"/>
      <c r="W247" s="45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41" t="s">
        <v>28</v>
      </c>
      <c r="B248" s="41" t="s">
        <v>42</v>
      </c>
      <c r="C248" s="41" t="s">
        <v>23</v>
      </c>
      <c r="D248" s="41" t="s">
        <v>43</v>
      </c>
      <c r="E248" s="41" t="s">
        <v>25</v>
      </c>
      <c r="F248" s="41" t="s">
        <v>25</v>
      </c>
      <c r="G248" s="41" t="s">
        <v>25</v>
      </c>
      <c r="H248" s="41" t="s">
        <v>25</v>
      </c>
      <c r="I248" s="60">
        <v>44682</v>
      </c>
      <c r="J248" s="61">
        <f>EFEITO!$J$248*EFEITO!$Y$74</f>
        <v>0</v>
      </c>
      <c r="K248" s="61">
        <f ca="1">EFEITO!$L$248*EFEITO!$Z$74</f>
        <v>2212.7788376688736</v>
      </c>
      <c r="L248" s="61">
        <f>EFEITO!$N$248*EFEITO!$AA$74</f>
        <v>943.38611195793021</v>
      </c>
      <c r="M248" s="61">
        <f>$J$248-EFEITO!$K$248*EFEITO!$Y$248</f>
        <v>0</v>
      </c>
      <c r="N248" s="61">
        <f ca="1">$K$248-EFEITO!$M$248*EFEITO!$Z$248</f>
        <v>132.76673026013259</v>
      </c>
      <c r="O248" s="61">
        <f>$L$248-EFEITO!$O$248*EFEITO!$AA$248</f>
        <v>56.603166717475915</v>
      </c>
      <c r="P248" s="45"/>
      <c r="Q248" s="45"/>
      <c r="R248" s="45"/>
      <c r="S248" s="45"/>
      <c r="T248" s="45"/>
      <c r="U248" s="45"/>
      <c r="V248" s="45"/>
      <c r="W248" s="45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41" t="s">
        <v>21</v>
      </c>
      <c r="B249" s="41" t="s">
        <v>42</v>
      </c>
      <c r="C249" s="41" t="s">
        <v>23</v>
      </c>
      <c r="D249" s="41" t="s">
        <v>43</v>
      </c>
      <c r="E249" s="41" t="s">
        <v>25</v>
      </c>
      <c r="F249" s="41" t="s">
        <v>25</v>
      </c>
      <c r="G249" s="41" t="s">
        <v>25</v>
      </c>
      <c r="H249" s="41" t="s">
        <v>25</v>
      </c>
      <c r="I249" s="60">
        <v>44713</v>
      </c>
      <c r="J249" s="61">
        <f>EFEITO!$J$249*EFEITO!$Y$74</f>
        <v>0</v>
      </c>
      <c r="K249" s="61">
        <f ca="1">EFEITO!$L$249*EFEITO!$Z$74</f>
        <v>171647.83952278792</v>
      </c>
      <c r="L249" s="61">
        <f>EFEITO!$N$249*EFEITO!$AA$74</f>
        <v>73179.56281793279</v>
      </c>
      <c r="M249" s="61">
        <f>$J$249-EFEITO!$K$249*EFEITO!$Y$249</f>
        <v>0</v>
      </c>
      <c r="N249" s="61">
        <f ca="1">$K$249-EFEITO!$M$249*EFEITO!$Z$249</f>
        <v>10298.870371367258</v>
      </c>
      <c r="O249" s="61">
        <f>$L$249-EFEITO!$O$249*EFEITO!$AA$249</f>
        <v>4390.7737690759677</v>
      </c>
      <c r="P249" s="45"/>
      <c r="Q249" s="45"/>
      <c r="R249" s="45"/>
      <c r="S249" s="45"/>
      <c r="T249" s="45"/>
      <c r="U249" s="45"/>
      <c r="V249" s="45"/>
      <c r="W249" s="45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41" t="s">
        <v>28</v>
      </c>
      <c r="B250" s="41" t="s">
        <v>42</v>
      </c>
      <c r="C250" s="41" t="s">
        <v>23</v>
      </c>
      <c r="D250" s="41" t="s">
        <v>43</v>
      </c>
      <c r="E250" s="41" t="s">
        <v>25</v>
      </c>
      <c r="F250" s="41" t="s">
        <v>25</v>
      </c>
      <c r="G250" s="41" t="s">
        <v>25</v>
      </c>
      <c r="H250" s="41" t="s">
        <v>25</v>
      </c>
      <c r="I250" s="60">
        <v>44713</v>
      </c>
      <c r="J250" s="61">
        <f>EFEITO!$J$250*EFEITO!$Y$74</f>
        <v>0</v>
      </c>
      <c r="K250" s="61">
        <f ca="1">EFEITO!$L$250*EFEITO!$Z$74</f>
        <v>3353.8899329397018</v>
      </c>
      <c r="L250" s="61">
        <f>EFEITO!$N$250*EFEITO!$AA$74</f>
        <v>1429.8822502767898</v>
      </c>
      <c r="M250" s="61">
        <f>$J$250-EFEITO!$K$250*EFEITO!$Y$250</f>
        <v>0</v>
      </c>
      <c r="N250" s="61">
        <f ca="1">$K$250-EFEITO!$M$250*EFEITO!$Z$250</f>
        <v>201.23339597638187</v>
      </c>
      <c r="O250" s="61">
        <f>$L$250-EFEITO!$O$250*EFEITO!$AA$250</f>
        <v>85.792935016607316</v>
      </c>
      <c r="P250" s="45"/>
      <c r="Q250" s="45"/>
      <c r="R250" s="45"/>
      <c r="S250" s="45"/>
      <c r="T250" s="45"/>
      <c r="U250" s="45"/>
      <c r="V250" s="45"/>
      <c r="W250" s="45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41" t="s">
        <v>21</v>
      </c>
      <c r="B251" s="41" t="s">
        <v>42</v>
      </c>
      <c r="C251" s="41" t="s">
        <v>23</v>
      </c>
      <c r="D251" s="41" t="s">
        <v>43</v>
      </c>
      <c r="E251" s="41" t="s">
        <v>25</v>
      </c>
      <c r="F251" s="41" t="s">
        <v>25</v>
      </c>
      <c r="G251" s="41" t="s">
        <v>25</v>
      </c>
      <c r="H251" s="41" t="s">
        <v>25</v>
      </c>
      <c r="I251" s="60">
        <v>44743</v>
      </c>
      <c r="J251" s="61">
        <f>EFEITO!$J$251*EFEITO!$Y$74</f>
        <v>0</v>
      </c>
      <c r="K251" s="61">
        <f ca="1">EFEITO!$L$251*EFEITO!$Z$74</f>
        <v>155985.45130937101</v>
      </c>
      <c r="L251" s="61">
        <f>EFEITO!$N$251*EFEITO!$AA$74</f>
        <v>66502.131133798903</v>
      </c>
      <c r="M251" s="61">
        <f>$J$251-EFEITO!$K$251*EFEITO!$Y$251</f>
        <v>0</v>
      </c>
      <c r="N251" s="61">
        <f ca="1">$K$251-EFEITO!$M$251*EFEITO!$Z$251</f>
        <v>9359.1270785622473</v>
      </c>
      <c r="O251" s="61">
        <f>$L$251-EFEITO!$O$251*EFEITO!$AA$251</f>
        <v>3990.1278680279356</v>
      </c>
      <c r="P251" s="45"/>
      <c r="Q251" s="45"/>
      <c r="R251" s="45"/>
      <c r="S251" s="45"/>
      <c r="T251" s="45"/>
      <c r="U251" s="45"/>
      <c r="V251" s="45"/>
      <c r="W251" s="45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41" t="s">
        <v>27</v>
      </c>
      <c r="B252" s="41" t="s">
        <v>42</v>
      </c>
      <c r="C252" s="41" t="s">
        <v>23</v>
      </c>
      <c r="D252" s="41" t="s">
        <v>43</v>
      </c>
      <c r="E252" s="41" t="s">
        <v>25</v>
      </c>
      <c r="F252" s="41" t="s">
        <v>25</v>
      </c>
      <c r="G252" s="41" t="s">
        <v>25</v>
      </c>
      <c r="H252" s="41" t="s">
        <v>25</v>
      </c>
      <c r="I252" s="60">
        <v>44743</v>
      </c>
      <c r="J252" s="61">
        <f>EFEITO!$J$252*EFEITO!$Y$74</f>
        <v>0</v>
      </c>
      <c r="K252" s="61">
        <f ca="1">EFEITO!$L$252*EFEITO!$Z$74</f>
        <v>-1429.1890042850187</v>
      </c>
      <c r="L252" s="61">
        <f>EFEITO!$N$252*EFEITO!$AA$74</f>
        <v>-609.31396986146933</v>
      </c>
      <c r="M252" s="61">
        <f>$J$252-EFEITO!$K$252*EFEITO!$Y$252</f>
        <v>0</v>
      </c>
      <c r="N252" s="61">
        <f ca="1">$K$252-EFEITO!$M$252*EFEITO!$Z$252</f>
        <v>-85.751340257101219</v>
      </c>
      <c r="O252" s="61">
        <f>$L$252-EFEITO!$O$252*EFEITO!$AA$252</f>
        <v>-36.558838191688096</v>
      </c>
      <c r="P252" s="45"/>
      <c r="Q252" s="45"/>
      <c r="R252" s="45"/>
      <c r="S252" s="45"/>
      <c r="T252" s="45"/>
      <c r="U252" s="45"/>
      <c r="V252" s="45"/>
      <c r="W252" s="45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41" t="s">
        <v>28</v>
      </c>
      <c r="B253" s="41" t="s">
        <v>42</v>
      </c>
      <c r="C253" s="41" t="s">
        <v>23</v>
      </c>
      <c r="D253" s="41" t="s">
        <v>43</v>
      </c>
      <c r="E253" s="41" t="s">
        <v>25</v>
      </c>
      <c r="F253" s="41" t="s">
        <v>25</v>
      </c>
      <c r="G253" s="41" t="s">
        <v>25</v>
      </c>
      <c r="H253" s="41" t="s">
        <v>25</v>
      </c>
      <c r="I253" s="60">
        <v>44743</v>
      </c>
      <c r="J253" s="61">
        <f>EFEITO!$J$253*EFEITO!$Y$74</f>
        <v>0</v>
      </c>
      <c r="K253" s="61">
        <f ca="1">EFEITO!$L$253*EFEITO!$Z$74</f>
        <v>4114.6306631202542</v>
      </c>
      <c r="L253" s="61">
        <f>EFEITO!$N$253*EFEITO!$AA$74</f>
        <v>1754.2130091560296</v>
      </c>
      <c r="M253" s="61">
        <f>$J$253-EFEITO!$K$253*EFEITO!$Y$253</f>
        <v>0</v>
      </c>
      <c r="N253" s="61">
        <f ca="1">$K$253-EFEITO!$M$253*EFEITO!$Z$253</f>
        <v>246.87783978721563</v>
      </c>
      <c r="O253" s="61">
        <f>$L$253-EFEITO!$O$253*EFEITO!$AA$253</f>
        <v>105.25278054936189</v>
      </c>
      <c r="P253" s="45"/>
      <c r="Q253" s="45"/>
      <c r="R253" s="45"/>
      <c r="S253" s="45"/>
      <c r="T253" s="45"/>
      <c r="U253" s="45"/>
      <c r="V253" s="45"/>
      <c r="W253" s="45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41" t="s">
        <v>55</v>
      </c>
      <c r="B254" s="41" t="s">
        <v>42</v>
      </c>
      <c r="C254" s="41" t="s">
        <v>23</v>
      </c>
      <c r="D254" s="41" t="s">
        <v>43</v>
      </c>
      <c r="E254" s="41" t="s">
        <v>25</v>
      </c>
      <c r="F254" s="41" t="s">
        <v>25</v>
      </c>
      <c r="G254" s="41" t="s">
        <v>25</v>
      </c>
      <c r="H254" s="41" t="s">
        <v>25</v>
      </c>
      <c r="I254" s="60">
        <v>44774</v>
      </c>
      <c r="J254" s="61">
        <f>EFEITO!$J$254*EFEITO!$Y$74</f>
        <v>0</v>
      </c>
      <c r="K254" s="61">
        <f ca="1">EFEITO!$L$254*EFEITO!$Z$74</f>
        <v>155985.45130937101</v>
      </c>
      <c r="L254" s="61">
        <f>EFEITO!$N$254*EFEITO!$AA$74</f>
        <v>66502.131133798903</v>
      </c>
      <c r="M254" s="61">
        <f>$J$254-EFEITO!$K$254*EFEITO!$Y$254</f>
        <v>0</v>
      </c>
      <c r="N254" s="61">
        <f ca="1">$K$254-EFEITO!$M$254*EFEITO!$Z$254</f>
        <v>9359.1270785622473</v>
      </c>
      <c r="O254" s="61">
        <f>$L$254-EFEITO!$O$254*EFEITO!$AA$254</f>
        <v>3990.1278680279356</v>
      </c>
      <c r="P254" s="45"/>
      <c r="Q254" s="45"/>
      <c r="R254" s="45"/>
      <c r="S254" s="45"/>
      <c r="T254" s="45"/>
      <c r="U254" s="45"/>
      <c r="V254" s="45"/>
      <c r="W254" s="45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41" t="s">
        <v>55</v>
      </c>
      <c r="B255" s="41" t="s">
        <v>42</v>
      </c>
      <c r="C255" s="41" t="s">
        <v>23</v>
      </c>
      <c r="D255" s="41" t="s">
        <v>43</v>
      </c>
      <c r="E255" s="41" t="s">
        <v>25</v>
      </c>
      <c r="F255" s="41" t="s">
        <v>25</v>
      </c>
      <c r="G255" s="41" t="s">
        <v>25</v>
      </c>
      <c r="H255" s="41" t="s">
        <v>25</v>
      </c>
      <c r="I255" s="60">
        <v>44774</v>
      </c>
      <c r="J255" s="61">
        <f>EFEITO!$J$255*EFEITO!$Y$74</f>
        <v>0</v>
      </c>
      <c r="K255" s="61">
        <f ca="1">EFEITO!$L$255*EFEITO!$Z$74</f>
        <v>-1429.1890042850187</v>
      </c>
      <c r="L255" s="61">
        <f>EFEITO!$N$255*EFEITO!$AA$74</f>
        <v>-609.31396986146933</v>
      </c>
      <c r="M255" s="61">
        <f>$J$255-EFEITO!$K$255*EFEITO!$Y$255</f>
        <v>0</v>
      </c>
      <c r="N255" s="61">
        <f ca="1">$K$255-EFEITO!$M$255*EFEITO!$Z$255</f>
        <v>-85.751340257101219</v>
      </c>
      <c r="O255" s="61">
        <f>$L$255-EFEITO!$O$255*EFEITO!$AA$255</f>
        <v>-36.558838191688096</v>
      </c>
      <c r="P255" s="45"/>
      <c r="Q255" s="45"/>
      <c r="R255" s="45"/>
      <c r="S255" s="45"/>
      <c r="T255" s="45"/>
      <c r="U255" s="45"/>
      <c r="V255" s="45"/>
      <c r="W255" s="45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41" t="s">
        <v>55</v>
      </c>
      <c r="B256" s="41" t="s">
        <v>42</v>
      </c>
      <c r="C256" s="41" t="s">
        <v>23</v>
      </c>
      <c r="D256" s="41" t="s">
        <v>43</v>
      </c>
      <c r="E256" s="41" t="s">
        <v>25</v>
      </c>
      <c r="F256" s="41" t="s">
        <v>25</v>
      </c>
      <c r="G256" s="41" t="s">
        <v>25</v>
      </c>
      <c r="H256" s="41" t="s">
        <v>25</v>
      </c>
      <c r="I256" s="60">
        <v>44774</v>
      </c>
      <c r="J256" s="61">
        <f>EFEITO!$J$256*EFEITO!$Y$74</f>
        <v>0</v>
      </c>
      <c r="K256" s="61">
        <f ca="1">EFEITO!$L$256*EFEITO!$Z$74</f>
        <v>4114.6306631202542</v>
      </c>
      <c r="L256" s="61">
        <f>EFEITO!$N$256*EFEITO!$AA$74</f>
        <v>1754.2130091560296</v>
      </c>
      <c r="M256" s="61">
        <f>$J$256-EFEITO!$K$256*EFEITO!$Y$256</f>
        <v>0</v>
      </c>
      <c r="N256" s="61">
        <f ca="1">$K$256-EFEITO!$M$256*EFEITO!$Z$256</f>
        <v>246.87783978721563</v>
      </c>
      <c r="O256" s="61">
        <f>$L$256-EFEITO!$O$256*EFEITO!$AA$256</f>
        <v>105.25278054936189</v>
      </c>
      <c r="P256" s="45"/>
      <c r="Q256" s="45"/>
      <c r="R256" s="45"/>
      <c r="S256" s="45"/>
      <c r="T256" s="45"/>
      <c r="U256" s="45"/>
      <c r="V256" s="45"/>
      <c r="W256" s="45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41" t="s">
        <v>21</v>
      </c>
      <c r="B257" s="41" t="s">
        <v>33</v>
      </c>
      <c r="C257" s="41" t="s">
        <v>40</v>
      </c>
      <c r="D257" s="41" t="s">
        <v>39</v>
      </c>
      <c r="E257" s="41" t="s">
        <v>25</v>
      </c>
      <c r="F257" s="41" t="s">
        <v>25</v>
      </c>
      <c r="G257" s="41" t="s">
        <v>25</v>
      </c>
      <c r="H257" s="41" t="s">
        <v>38</v>
      </c>
      <c r="I257" s="60">
        <v>44440</v>
      </c>
      <c r="J257" s="61">
        <f>EFEITO!$J$257*EFEITO!$Y$257</f>
        <v>0</v>
      </c>
      <c r="K257" s="61">
        <f ca="1">EFEITO!$L$257*EFEITO!$Z$257</f>
        <v>184.76321878941124</v>
      </c>
      <c r="L257" s="61">
        <f>EFEITO!$N$257*EFEITO!$AA$257</f>
        <v>103.3350651081677</v>
      </c>
      <c r="M257" s="61">
        <f>$J$257-EFEITO!$K$257*EFEITO!$Y$257</f>
        <v>0</v>
      </c>
      <c r="N257" s="61">
        <f ca="1">$K$257-EFEITO!$M$257*EFEITO!$Z$257</f>
        <v>0</v>
      </c>
      <c r="O257" s="61">
        <f>$L$257-EFEITO!$O$257*EFEITO!$AA$257</f>
        <v>0</v>
      </c>
      <c r="P257" s="45"/>
      <c r="Q257" s="45"/>
      <c r="R257" s="45"/>
      <c r="S257" s="45"/>
      <c r="T257" s="45"/>
      <c r="U257" s="45"/>
      <c r="V257" s="45"/>
      <c r="W257" s="45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41" t="s">
        <v>21</v>
      </c>
      <c r="B258" s="41" t="s">
        <v>33</v>
      </c>
      <c r="C258" s="41" t="s">
        <v>40</v>
      </c>
      <c r="D258" s="41" t="s">
        <v>39</v>
      </c>
      <c r="E258" s="41" t="s">
        <v>25</v>
      </c>
      <c r="F258" s="41" t="s">
        <v>25</v>
      </c>
      <c r="G258" s="41" t="s">
        <v>25</v>
      </c>
      <c r="H258" s="41" t="s">
        <v>38</v>
      </c>
      <c r="I258" s="60">
        <v>44470</v>
      </c>
      <c r="J258" s="61">
        <f>EFEITO!$J$258*EFEITO!$Y$258</f>
        <v>0</v>
      </c>
      <c r="K258" s="61">
        <f ca="1">EFEITO!$L$258*EFEITO!$Z$258</f>
        <v>191.25213035502827</v>
      </c>
      <c r="L258" s="61">
        <f>EFEITO!$N$258*EFEITO!$AA$258</f>
        <v>106.96420787536768</v>
      </c>
      <c r="M258" s="61">
        <f>$J$258-EFEITO!$K$258*EFEITO!$Y$258</f>
        <v>0</v>
      </c>
      <c r="N258" s="61">
        <f ca="1">$K$258-EFEITO!$M$258*EFEITO!$Z$258</f>
        <v>0</v>
      </c>
      <c r="O258" s="61">
        <f>$L$258-EFEITO!$O$258*EFEITO!$AA$258</f>
        <v>0</v>
      </c>
      <c r="P258" s="45"/>
      <c r="Q258" s="45"/>
      <c r="R258" s="45"/>
      <c r="S258" s="45"/>
      <c r="T258" s="45"/>
      <c r="U258" s="45"/>
      <c r="V258" s="45"/>
      <c r="W258" s="45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41" t="s">
        <v>21</v>
      </c>
      <c r="B259" s="41" t="s">
        <v>33</v>
      </c>
      <c r="C259" s="41" t="s">
        <v>40</v>
      </c>
      <c r="D259" s="41" t="s">
        <v>39</v>
      </c>
      <c r="E259" s="41" t="s">
        <v>25</v>
      </c>
      <c r="F259" s="41" t="s">
        <v>25</v>
      </c>
      <c r="G259" s="41" t="s">
        <v>25</v>
      </c>
      <c r="H259" s="41" t="s">
        <v>38</v>
      </c>
      <c r="I259" s="60">
        <v>44501</v>
      </c>
      <c r="J259" s="61">
        <f>EFEITO!$J$259*EFEITO!$Y$259</f>
        <v>0</v>
      </c>
      <c r="K259" s="61">
        <f ca="1">EFEITO!$L$259*EFEITO!$Z$259</f>
        <v>215.15864664940679</v>
      </c>
      <c r="L259" s="61">
        <f>EFEITO!$N$259*EFEITO!$AA$259</f>
        <v>120.33473385978863</v>
      </c>
      <c r="M259" s="61">
        <f>$J$259-EFEITO!$K$259*EFEITO!$Y$259</f>
        <v>0</v>
      </c>
      <c r="N259" s="61">
        <f ca="1">$K$259-EFEITO!$M$259*EFEITO!$Z$259</f>
        <v>0</v>
      </c>
      <c r="O259" s="61">
        <f>$L$259-EFEITO!$O$259*EFEITO!$AA$259</f>
        <v>0</v>
      </c>
      <c r="P259" s="45"/>
      <c r="Q259" s="45"/>
      <c r="R259" s="45"/>
      <c r="S259" s="45"/>
      <c r="T259" s="45"/>
      <c r="U259" s="45"/>
      <c r="V259" s="45"/>
      <c r="W259" s="45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41" t="s">
        <v>21</v>
      </c>
      <c r="B260" s="41" t="s">
        <v>33</v>
      </c>
      <c r="C260" s="41" t="s">
        <v>40</v>
      </c>
      <c r="D260" s="41" t="s">
        <v>39</v>
      </c>
      <c r="E260" s="41" t="s">
        <v>25</v>
      </c>
      <c r="F260" s="41" t="s">
        <v>25</v>
      </c>
      <c r="G260" s="41" t="s">
        <v>25</v>
      </c>
      <c r="H260" s="41" t="s">
        <v>38</v>
      </c>
      <c r="I260" s="60">
        <v>44531</v>
      </c>
      <c r="J260" s="61">
        <f>EFEITO!$J$260*EFEITO!$Y$260</f>
        <v>0</v>
      </c>
      <c r="K260" s="61">
        <f ca="1">EFEITO!$L$260*EFEITO!$Z$260</f>
        <v>255.11668102715376</v>
      </c>
      <c r="L260" s="61">
        <f>EFEITO!$N$260*EFEITO!$AA$260</f>
        <v>142.68261300517793</v>
      </c>
      <c r="M260" s="61">
        <f>$J$260-EFEITO!$K$260*EFEITO!$Y$260</f>
        <v>0</v>
      </c>
      <c r="N260" s="61">
        <f ca="1">$K$260-EFEITO!$M$260*EFEITO!$Z$260</f>
        <v>0</v>
      </c>
      <c r="O260" s="61">
        <f>$L$260-EFEITO!$O$260*EFEITO!$AA$260</f>
        <v>0</v>
      </c>
      <c r="P260" s="45"/>
      <c r="Q260" s="45"/>
      <c r="R260" s="45"/>
      <c r="S260" s="45"/>
      <c r="T260" s="45"/>
      <c r="U260" s="45"/>
      <c r="V260" s="45"/>
      <c r="W260" s="45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41" t="s">
        <v>21</v>
      </c>
      <c r="B261" s="41" t="s">
        <v>33</v>
      </c>
      <c r="C261" s="41" t="s">
        <v>40</v>
      </c>
      <c r="D261" s="41" t="s">
        <v>39</v>
      </c>
      <c r="E261" s="41" t="s">
        <v>25</v>
      </c>
      <c r="F261" s="41" t="s">
        <v>25</v>
      </c>
      <c r="G261" s="41" t="s">
        <v>25</v>
      </c>
      <c r="H261" s="41" t="s">
        <v>38</v>
      </c>
      <c r="I261" s="60">
        <v>44562</v>
      </c>
      <c r="J261" s="61">
        <f>EFEITO!$J$261*EFEITO!$Y$261</f>
        <v>0</v>
      </c>
      <c r="K261" s="61">
        <f ca="1">EFEITO!$L$261*EFEITO!$Z$261</f>
        <v>294.05015042085591</v>
      </c>
      <c r="L261" s="61">
        <f>EFEITO!$N$261*EFEITO!$AA$261</f>
        <v>164.45746960837778</v>
      </c>
      <c r="M261" s="61">
        <f>$J$261-EFEITO!$K$261*EFEITO!$Y$261</f>
        <v>0</v>
      </c>
      <c r="N261" s="61">
        <f ca="1">$K$261-EFEITO!$M$261*EFEITO!$Z$261</f>
        <v>0</v>
      </c>
      <c r="O261" s="61">
        <f>$L$261-EFEITO!$O$261*EFEITO!$AA$261</f>
        <v>0</v>
      </c>
      <c r="P261" s="45"/>
      <c r="Q261" s="45"/>
      <c r="R261" s="45"/>
      <c r="S261" s="45"/>
      <c r="T261" s="45"/>
      <c r="U261" s="45"/>
      <c r="V261" s="45"/>
      <c r="W261" s="45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41" t="s">
        <v>21</v>
      </c>
      <c r="B262" s="41" t="s">
        <v>33</v>
      </c>
      <c r="C262" s="41" t="s">
        <v>40</v>
      </c>
      <c r="D262" s="41" t="s">
        <v>39</v>
      </c>
      <c r="E262" s="41" t="s">
        <v>25</v>
      </c>
      <c r="F262" s="41" t="s">
        <v>25</v>
      </c>
      <c r="G262" s="41" t="s">
        <v>25</v>
      </c>
      <c r="H262" s="41" t="s">
        <v>38</v>
      </c>
      <c r="I262" s="60">
        <v>44593</v>
      </c>
      <c r="J262" s="61">
        <f>EFEITO!$J$262*EFEITO!$Y$262</f>
        <v>0</v>
      </c>
      <c r="K262" s="61">
        <f ca="1">EFEITO!$L$262*EFEITO!$Z$262</f>
        <v>430.65881496016181</v>
      </c>
      <c r="L262" s="61">
        <f>EFEITO!$N$262*EFEITO!$AA$262</f>
        <v>240.86047523364039</v>
      </c>
      <c r="M262" s="61">
        <f>$J$262-EFEITO!$K$262*EFEITO!$Y$262</f>
        <v>0</v>
      </c>
      <c r="N262" s="61">
        <f ca="1">$K$262-EFEITO!$M$262*EFEITO!$Z$262</f>
        <v>0</v>
      </c>
      <c r="O262" s="61">
        <f>$L$262-EFEITO!$O$262*EFEITO!$AA$262</f>
        <v>0</v>
      </c>
      <c r="P262" s="45"/>
      <c r="Q262" s="45"/>
      <c r="R262" s="45"/>
      <c r="S262" s="45"/>
      <c r="T262" s="45"/>
      <c r="U262" s="45"/>
      <c r="V262" s="45"/>
      <c r="W262" s="45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41" t="s">
        <v>21</v>
      </c>
      <c r="B263" s="41" t="s">
        <v>33</v>
      </c>
      <c r="C263" s="41" t="s">
        <v>40</v>
      </c>
      <c r="D263" s="41" t="s">
        <v>39</v>
      </c>
      <c r="E263" s="41" t="s">
        <v>25</v>
      </c>
      <c r="F263" s="41" t="s">
        <v>25</v>
      </c>
      <c r="G263" s="41" t="s">
        <v>25</v>
      </c>
      <c r="H263" s="41" t="s">
        <v>38</v>
      </c>
      <c r="I263" s="60">
        <v>44621</v>
      </c>
      <c r="J263" s="61">
        <f>EFEITO!$J$263*EFEITO!$Y$263</f>
        <v>0</v>
      </c>
      <c r="K263" s="61">
        <f ca="1">EFEITO!$L$263*EFEITO!$Z$263</f>
        <v>331.95905483051331</v>
      </c>
      <c r="L263" s="61">
        <f>EFEITO!$N$263*EFEITO!$AA$263</f>
        <v>185.65930366938815</v>
      </c>
      <c r="M263" s="61">
        <f>$J$263-EFEITO!$K$263*EFEITO!$Y$263</f>
        <v>0</v>
      </c>
      <c r="N263" s="61">
        <f ca="1">$K$263-EFEITO!$M$263*EFEITO!$Z$263</f>
        <v>0</v>
      </c>
      <c r="O263" s="61">
        <f>$L$263-EFEITO!$O$263*EFEITO!$AA$263</f>
        <v>0</v>
      </c>
      <c r="P263" s="45"/>
      <c r="Q263" s="45"/>
      <c r="R263" s="45"/>
      <c r="S263" s="45"/>
      <c r="T263" s="45"/>
      <c r="U263" s="45"/>
      <c r="V263" s="45"/>
      <c r="W263" s="45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41" t="s">
        <v>21</v>
      </c>
      <c r="B264" s="41" t="s">
        <v>33</v>
      </c>
      <c r="C264" s="41" t="s">
        <v>40</v>
      </c>
      <c r="D264" s="41" t="s">
        <v>39</v>
      </c>
      <c r="E264" s="41" t="s">
        <v>25</v>
      </c>
      <c r="F264" s="41" t="s">
        <v>25</v>
      </c>
      <c r="G264" s="41" t="s">
        <v>25</v>
      </c>
      <c r="H264" s="41" t="s">
        <v>38</v>
      </c>
      <c r="I264" s="60">
        <v>44652</v>
      </c>
      <c r="J264" s="61">
        <f>EFEITO!$J$264*EFEITO!$Y$264</f>
        <v>0</v>
      </c>
      <c r="K264" s="61">
        <f ca="1">EFEITO!$L$264*EFEITO!$Z$264</f>
        <v>311.46775514961746</v>
      </c>
      <c r="L264" s="61">
        <f>EFEITO!$N$264*EFEITO!$AA$264</f>
        <v>174.19885282559878</v>
      </c>
      <c r="M264" s="61">
        <f>$J$264-EFEITO!$K$264*EFEITO!$Y$264</f>
        <v>0</v>
      </c>
      <c r="N264" s="61">
        <f ca="1">$K$264-EFEITO!$M$264*EFEITO!$Z$264</f>
        <v>0</v>
      </c>
      <c r="O264" s="61">
        <f>$L$264-EFEITO!$O$264*EFEITO!$AA$264</f>
        <v>0</v>
      </c>
      <c r="P264" s="45"/>
      <c r="Q264" s="45"/>
      <c r="R264" s="45"/>
      <c r="S264" s="45"/>
      <c r="T264" s="45"/>
      <c r="U264" s="45"/>
      <c r="V264" s="45"/>
      <c r="W264" s="45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41" t="s">
        <v>21</v>
      </c>
      <c r="B265" s="41" t="s">
        <v>33</v>
      </c>
      <c r="C265" s="41" t="s">
        <v>40</v>
      </c>
      <c r="D265" s="41" t="s">
        <v>39</v>
      </c>
      <c r="E265" s="41" t="s">
        <v>25</v>
      </c>
      <c r="F265" s="41" t="s">
        <v>25</v>
      </c>
      <c r="G265" s="41" t="s">
        <v>25</v>
      </c>
      <c r="H265" s="41" t="s">
        <v>38</v>
      </c>
      <c r="I265" s="60">
        <v>44682</v>
      </c>
      <c r="J265" s="61">
        <f>EFEITO!$J$265*EFEITO!$Y$265</f>
        <v>0</v>
      </c>
      <c r="K265" s="61">
        <f ca="1">EFEITO!$L$265*EFEITO!$Z$265</f>
        <v>287.56123885523891</v>
      </c>
      <c r="L265" s="61">
        <f>EFEITO!$N$265*EFEITO!$AA$265</f>
        <v>160.82832684117781</v>
      </c>
      <c r="M265" s="61">
        <f>$J$265-EFEITO!$K$265*EFEITO!$Y$265</f>
        <v>0</v>
      </c>
      <c r="N265" s="61">
        <f ca="1">$K$265-EFEITO!$M$265*EFEITO!$Z$265</f>
        <v>0</v>
      </c>
      <c r="O265" s="61">
        <f>$L$265-EFEITO!$O$265*EFEITO!$AA$265</f>
        <v>0</v>
      </c>
      <c r="P265" s="45"/>
      <c r="Q265" s="45"/>
      <c r="R265" s="45"/>
      <c r="S265" s="45"/>
      <c r="T265" s="45"/>
      <c r="U265" s="45"/>
      <c r="V265" s="45"/>
      <c r="W265" s="45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41" t="s">
        <v>21</v>
      </c>
      <c r="B266" s="41" t="s">
        <v>33</v>
      </c>
      <c r="C266" s="41" t="s">
        <v>40</v>
      </c>
      <c r="D266" s="41" t="s">
        <v>39</v>
      </c>
      <c r="E266" s="41" t="s">
        <v>25</v>
      </c>
      <c r="F266" s="41" t="s">
        <v>25</v>
      </c>
      <c r="G266" s="41" t="s">
        <v>25</v>
      </c>
      <c r="H266" s="41" t="s">
        <v>38</v>
      </c>
      <c r="I266" s="60">
        <v>44713</v>
      </c>
      <c r="J266" s="61">
        <f>EFEITO!$J$266*EFEITO!$Y$266</f>
        <v>0</v>
      </c>
      <c r="K266" s="61">
        <f ca="1">EFEITO!$L$266*EFEITO!$Z$266</f>
        <v>270.14363412647742</v>
      </c>
      <c r="L266" s="61">
        <f>EFEITO!$N$266*EFEITO!$AA$266</f>
        <v>151.08694362395684</v>
      </c>
      <c r="M266" s="61">
        <f>$J$266-EFEITO!$K$266*EFEITO!$Y$266</f>
        <v>0</v>
      </c>
      <c r="N266" s="61">
        <f ca="1">$K$266-EFEITO!$M$266*EFEITO!$Z$266</f>
        <v>0</v>
      </c>
      <c r="O266" s="61">
        <f>$L$266-EFEITO!$O$266*EFEITO!$AA$266</f>
        <v>0</v>
      </c>
      <c r="P266" s="45"/>
      <c r="Q266" s="45"/>
      <c r="R266" s="45"/>
      <c r="S266" s="45"/>
      <c r="T266" s="45"/>
      <c r="U266" s="45"/>
      <c r="V266" s="45"/>
      <c r="W266" s="45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41" t="s">
        <v>21</v>
      </c>
      <c r="B267" s="41" t="s">
        <v>33</v>
      </c>
      <c r="C267" s="41" t="s">
        <v>40</v>
      </c>
      <c r="D267" s="41" t="s">
        <v>39</v>
      </c>
      <c r="E267" s="41" t="s">
        <v>25</v>
      </c>
      <c r="F267" s="41" t="s">
        <v>25</v>
      </c>
      <c r="G267" s="41" t="s">
        <v>25</v>
      </c>
      <c r="H267" s="41" t="s">
        <v>38</v>
      </c>
      <c r="I267" s="60">
        <v>44743</v>
      </c>
      <c r="J267" s="61">
        <f>EFEITO!$J$267*EFEITO!$Y$267</f>
        <v>0</v>
      </c>
      <c r="K267" s="61">
        <f ca="1">EFEITO!$L$267*EFEITO!$Z$267</f>
        <v>253.06755105906416</v>
      </c>
      <c r="L267" s="61">
        <f>EFEITO!$N$267*EFEITO!$AA$267</f>
        <v>141.536567920799</v>
      </c>
      <c r="M267" s="61">
        <f>$J$267-EFEITO!$K$267*EFEITO!$Y$267</f>
        <v>0</v>
      </c>
      <c r="N267" s="61">
        <f ca="1">$K$267-EFEITO!$M$267*EFEITO!$Z$267</f>
        <v>0</v>
      </c>
      <c r="O267" s="61">
        <f>$L$267-EFEITO!$O$267*EFEITO!$AA$267</f>
        <v>0</v>
      </c>
      <c r="P267" s="45"/>
      <c r="Q267" s="45"/>
      <c r="R267" s="45"/>
      <c r="S267" s="45"/>
      <c r="T267" s="45"/>
      <c r="U267" s="45"/>
      <c r="V267" s="45"/>
      <c r="W267" s="45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41" t="s">
        <v>55</v>
      </c>
      <c r="B268" s="41" t="s">
        <v>33</v>
      </c>
      <c r="C268" s="41" t="s">
        <v>40</v>
      </c>
      <c r="D268" s="41" t="s">
        <v>39</v>
      </c>
      <c r="E268" s="41" t="s">
        <v>25</v>
      </c>
      <c r="F268" s="41" t="s">
        <v>25</v>
      </c>
      <c r="G268" s="41" t="s">
        <v>25</v>
      </c>
      <c r="H268" s="41" t="s">
        <v>38</v>
      </c>
      <c r="I268" s="60">
        <v>44774</v>
      </c>
      <c r="J268" s="61">
        <f>EFEITO!$J$268*EFEITO!$Y$268</f>
        <v>0</v>
      </c>
      <c r="K268" s="61">
        <f ca="1">EFEITO!$L$268*EFEITO!$Z$268</f>
        <v>253.06755105906416</v>
      </c>
      <c r="L268" s="61">
        <f>EFEITO!$N$268*EFEITO!$AA$268</f>
        <v>141.536567920799</v>
      </c>
      <c r="M268" s="61">
        <f>$J$268-EFEITO!$K$268*EFEITO!$Y$268</f>
        <v>0</v>
      </c>
      <c r="N268" s="61">
        <f ca="1">$K$268-EFEITO!$M$268*EFEITO!$Z$268</f>
        <v>0</v>
      </c>
      <c r="O268" s="61">
        <f>$L$268-EFEITO!$O$268*EFEITO!$AA$268</f>
        <v>0</v>
      </c>
      <c r="P268" s="45"/>
      <c r="Q268" s="45"/>
      <c r="R268" s="45"/>
      <c r="S268" s="45"/>
      <c r="T268" s="45"/>
      <c r="U268" s="45"/>
      <c r="V268" s="45"/>
      <c r="W268" s="45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41" t="s">
        <v>21</v>
      </c>
      <c r="B269" s="41" t="s">
        <v>33</v>
      </c>
      <c r="C269" s="41" t="s">
        <v>40</v>
      </c>
      <c r="D269" s="41" t="s">
        <v>39</v>
      </c>
      <c r="E269" s="41" t="s">
        <v>25</v>
      </c>
      <c r="F269" s="41" t="s">
        <v>25</v>
      </c>
      <c r="G269" s="41" t="s">
        <v>25</v>
      </c>
      <c r="H269" s="41" t="s">
        <v>41</v>
      </c>
      <c r="I269" s="60">
        <v>44440</v>
      </c>
      <c r="J269" s="61">
        <f>EFEITO!$J$269*EFEITO!$Y$269</f>
        <v>0</v>
      </c>
      <c r="K269" s="61">
        <f ca="1">EFEITO!$L$269*EFEITO!$Z$269</f>
        <v>26.09863138761046</v>
      </c>
      <c r="L269" s="61">
        <f>EFEITO!$N$269*EFEITO!$AA$269</f>
        <v>6.1122404500210097</v>
      </c>
      <c r="M269" s="61">
        <f>$J$269-EFEITO!$K$269*EFEITO!$Y$269</f>
        <v>0</v>
      </c>
      <c r="N269" s="61">
        <f ca="1">$K$269-EFEITO!$M$269*EFEITO!$Z$269</f>
        <v>0</v>
      </c>
      <c r="O269" s="61">
        <f>$L$269-EFEITO!$O$269*EFEITO!$AA$269</f>
        <v>0</v>
      </c>
      <c r="P269" s="45"/>
      <c r="Q269" s="45"/>
      <c r="R269" s="45"/>
      <c r="S269" s="45"/>
      <c r="T269" s="45"/>
      <c r="U269" s="45"/>
      <c r="V269" s="45"/>
      <c r="W269" s="45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41" t="s">
        <v>21</v>
      </c>
      <c r="B270" s="41" t="s">
        <v>33</v>
      </c>
      <c r="C270" s="41" t="s">
        <v>40</v>
      </c>
      <c r="D270" s="41" t="s">
        <v>39</v>
      </c>
      <c r="E270" s="41" t="s">
        <v>25</v>
      </c>
      <c r="F270" s="41" t="s">
        <v>25</v>
      </c>
      <c r="G270" s="41" t="s">
        <v>25</v>
      </c>
      <c r="H270" s="41" t="s">
        <v>41</v>
      </c>
      <c r="I270" s="60">
        <v>44470</v>
      </c>
      <c r="J270" s="61">
        <f>EFEITO!$J$270*EFEITO!$Y$270</f>
        <v>0</v>
      </c>
      <c r="K270" s="61">
        <f ca="1">EFEITO!$L$270*EFEITO!$Z$270</f>
        <v>28.545378080198944</v>
      </c>
      <c r="L270" s="61">
        <f>EFEITO!$N$270*EFEITO!$AA$270</f>
        <v>6.6852629922104798</v>
      </c>
      <c r="M270" s="61">
        <f>$J$270-EFEITO!$K$270*EFEITO!$Y$270</f>
        <v>0</v>
      </c>
      <c r="N270" s="61">
        <f ca="1">$K$270-EFEITO!$M$270*EFEITO!$Z$270</f>
        <v>0</v>
      </c>
      <c r="O270" s="61">
        <f>$L$270-EFEITO!$O$270*EFEITO!$AA$270</f>
        <v>0</v>
      </c>
      <c r="P270" s="45"/>
      <c r="Q270" s="45"/>
      <c r="R270" s="45"/>
      <c r="S270" s="45"/>
      <c r="T270" s="45"/>
      <c r="U270" s="45"/>
      <c r="V270" s="45"/>
      <c r="W270" s="45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41" t="s">
        <v>21</v>
      </c>
      <c r="B271" s="41" t="s">
        <v>33</v>
      </c>
      <c r="C271" s="41" t="s">
        <v>40</v>
      </c>
      <c r="D271" s="41" t="s">
        <v>39</v>
      </c>
      <c r="E271" s="41" t="s">
        <v>25</v>
      </c>
      <c r="F271" s="41" t="s">
        <v>25</v>
      </c>
      <c r="G271" s="41" t="s">
        <v>25</v>
      </c>
      <c r="H271" s="41" t="s">
        <v>41</v>
      </c>
      <c r="I271" s="60">
        <v>44501</v>
      </c>
      <c r="J271" s="61">
        <f>EFEITO!$J$271*EFEITO!$Y$271</f>
        <v>0</v>
      </c>
      <c r="K271" s="61">
        <f ca="1">EFEITO!$L$271*EFEITO!$Z$271</f>
        <v>27.729795849336117</v>
      </c>
      <c r="L271" s="61">
        <f>EFEITO!$N$271*EFEITO!$AA$271</f>
        <v>6.4942554781473234</v>
      </c>
      <c r="M271" s="61">
        <f>$J$271-EFEITO!$K$271*EFEITO!$Y$271</f>
        <v>0</v>
      </c>
      <c r="N271" s="61">
        <f ca="1">$K$271-EFEITO!$M$271*EFEITO!$Z$271</f>
        <v>0</v>
      </c>
      <c r="O271" s="61">
        <f>$L$271-EFEITO!$O$271*EFEITO!$AA$271</f>
        <v>0</v>
      </c>
      <c r="P271" s="45"/>
      <c r="Q271" s="45"/>
      <c r="R271" s="45"/>
      <c r="S271" s="45"/>
      <c r="T271" s="45"/>
      <c r="U271" s="45"/>
      <c r="V271" s="45"/>
      <c r="W271" s="45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41" t="s">
        <v>21</v>
      </c>
      <c r="B272" s="41" t="s">
        <v>33</v>
      </c>
      <c r="C272" s="41" t="s">
        <v>40</v>
      </c>
      <c r="D272" s="41" t="s">
        <v>39</v>
      </c>
      <c r="E272" s="41" t="s">
        <v>25</v>
      </c>
      <c r="F272" s="41" t="s">
        <v>25</v>
      </c>
      <c r="G272" s="41" t="s">
        <v>25</v>
      </c>
      <c r="H272" s="41" t="s">
        <v>41</v>
      </c>
      <c r="I272" s="60">
        <v>44531</v>
      </c>
      <c r="J272" s="61">
        <f>EFEITO!$J$272*EFEITO!$Y$272</f>
        <v>0</v>
      </c>
      <c r="K272" s="61">
        <f ca="1">EFEITO!$L$272*EFEITO!$Z$272</f>
        <v>30.992124772787424</v>
      </c>
      <c r="L272" s="61">
        <f>EFEITO!$N$272*EFEITO!$AA$272</f>
        <v>7.2582855343999491</v>
      </c>
      <c r="M272" s="61">
        <f>$J$272-EFEITO!$K$272*EFEITO!$Y$272</f>
        <v>0</v>
      </c>
      <c r="N272" s="61">
        <f ca="1">$K$272-EFEITO!$M$272*EFEITO!$Z$272</f>
        <v>0</v>
      </c>
      <c r="O272" s="61">
        <f>$L$272-EFEITO!$O$272*EFEITO!$AA$272</f>
        <v>0</v>
      </c>
      <c r="P272" s="45"/>
      <c r="Q272" s="45"/>
      <c r="R272" s="45"/>
      <c r="S272" s="45"/>
      <c r="T272" s="45"/>
      <c r="U272" s="45"/>
      <c r="V272" s="45"/>
      <c r="W272" s="45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41" t="s">
        <v>21</v>
      </c>
      <c r="B273" s="41" t="s">
        <v>33</v>
      </c>
      <c r="C273" s="41" t="s">
        <v>40</v>
      </c>
      <c r="D273" s="41" t="s">
        <v>39</v>
      </c>
      <c r="E273" s="41" t="s">
        <v>25</v>
      </c>
      <c r="F273" s="41" t="s">
        <v>25</v>
      </c>
      <c r="G273" s="41" t="s">
        <v>25</v>
      </c>
      <c r="H273" s="41" t="s">
        <v>41</v>
      </c>
      <c r="I273" s="60">
        <v>44562</v>
      </c>
      <c r="J273" s="61">
        <f>EFEITO!$J$273*EFEITO!$Y$273</f>
        <v>0</v>
      </c>
      <c r="K273" s="61">
        <f ca="1">EFEITO!$L$273*EFEITO!$Z$273</f>
        <v>40.779111543141347</v>
      </c>
      <c r="L273" s="61">
        <f>EFEITO!$N$273*EFEITO!$AA$273</f>
        <v>9.5503757031578278</v>
      </c>
      <c r="M273" s="61">
        <f>$J$273-EFEITO!$K$273*EFEITO!$Y$273</f>
        <v>0</v>
      </c>
      <c r="N273" s="61">
        <f ca="1">$K$273-EFEITO!$M$273*EFEITO!$Z$273</f>
        <v>0</v>
      </c>
      <c r="O273" s="61">
        <f>$L$273-EFEITO!$O$273*EFEITO!$AA$273</f>
        <v>0</v>
      </c>
      <c r="P273" s="45"/>
      <c r="Q273" s="45"/>
      <c r="R273" s="45"/>
      <c r="S273" s="45"/>
      <c r="T273" s="45"/>
      <c r="U273" s="45"/>
      <c r="V273" s="45"/>
      <c r="W273" s="45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41" t="s">
        <v>21</v>
      </c>
      <c r="B274" s="41" t="s">
        <v>33</v>
      </c>
      <c r="C274" s="41" t="s">
        <v>40</v>
      </c>
      <c r="D274" s="41" t="s">
        <v>39</v>
      </c>
      <c r="E274" s="41" t="s">
        <v>25</v>
      </c>
      <c r="F274" s="41" t="s">
        <v>25</v>
      </c>
      <c r="G274" s="41" t="s">
        <v>25</v>
      </c>
      <c r="H274" s="41" t="s">
        <v>41</v>
      </c>
      <c r="I274" s="60">
        <v>44593</v>
      </c>
      <c r="J274" s="61">
        <f>EFEITO!$J$274*EFEITO!$Y$274</f>
        <v>0</v>
      </c>
      <c r="K274" s="61">
        <f ca="1">EFEITO!$L$274*EFEITO!$Z$274</f>
        <v>56.275173929535065</v>
      </c>
      <c r="L274" s="61">
        <f>EFEITO!$N$274*EFEITO!$AA$274</f>
        <v>13.179518470357802</v>
      </c>
      <c r="M274" s="61">
        <f>$J$274-EFEITO!$K$274*EFEITO!$Y$274</f>
        <v>0</v>
      </c>
      <c r="N274" s="61">
        <f ca="1">$K$274-EFEITO!$M$274*EFEITO!$Z$274</f>
        <v>0</v>
      </c>
      <c r="O274" s="61">
        <f>$L$274-EFEITO!$O$274*EFEITO!$AA$274</f>
        <v>0</v>
      </c>
      <c r="P274" s="45"/>
      <c r="Q274" s="45"/>
      <c r="R274" s="45"/>
      <c r="S274" s="45"/>
      <c r="T274" s="45"/>
      <c r="U274" s="45"/>
      <c r="V274" s="45"/>
      <c r="W274" s="45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41" t="s">
        <v>21</v>
      </c>
      <c r="B275" s="41" t="s">
        <v>33</v>
      </c>
      <c r="C275" s="41" t="s">
        <v>40</v>
      </c>
      <c r="D275" s="41" t="s">
        <v>39</v>
      </c>
      <c r="E275" s="41" t="s">
        <v>25</v>
      </c>
      <c r="F275" s="41" t="s">
        <v>25</v>
      </c>
      <c r="G275" s="41" t="s">
        <v>25</v>
      </c>
      <c r="H275" s="41" t="s">
        <v>41</v>
      </c>
      <c r="I275" s="60">
        <v>44621</v>
      </c>
      <c r="J275" s="61">
        <f>EFEITO!$J$275*EFEITO!$Y$275</f>
        <v>0</v>
      </c>
      <c r="K275" s="61">
        <f ca="1">EFEITO!$L$275*EFEITO!$Z$275</f>
        <v>42.410276004867001</v>
      </c>
      <c r="L275" s="61">
        <f>EFEITO!$N$275*EFEITO!$AA$275</f>
        <v>9.9323907312841406</v>
      </c>
      <c r="M275" s="61">
        <f>$J$275-EFEITO!$K$275*EFEITO!$Y$275</f>
        <v>0</v>
      </c>
      <c r="N275" s="61">
        <f ca="1">$K$275-EFEITO!$M$275*EFEITO!$Z$275</f>
        <v>0</v>
      </c>
      <c r="O275" s="61">
        <f>$L$275-EFEITO!$O$275*EFEITO!$AA$275</f>
        <v>0</v>
      </c>
      <c r="P275" s="45"/>
      <c r="Q275" s="45"/>
      <c r="R275" s="45"/>
      <c r="S275" s="45"/>
      <c r="T275" s="45"/>
      <c r="U275" s="45"/>
      <c r="V275" s="45"/>
      <c r="W275" s="45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41" t="s">
        <v>21</v>
      </c>
      <c r="B276" s="41" t="s">
        <v>33</v>
      </c>
      <c r="C276" s="41" t="s">
        <v>40</v>
      </c>
      <c r="D276" s="41" t="s">
        <v>39</v>
      </c>
      <c r="E276" s="41" t="s">
        <v>25</v>
      </c>
      <c r="F276" s="41" t="s">
        <v>25</v>
      </c>
      <c r="G276" s="41" t="s">
        <v>25</v>
      </c>
      <c r="H276" s="41" t="s">
        <v>41</v>
      </c>
      <c r="I276" s="60">
        <v>44652</v>
      </c>
      <c r="J276" s="61">
        <f>EFEITO!$J$276*EFEITO!$Y$276</f>
        <v>0</v>
      </c>
      <c r="K276" s="61">
        <f ca="1">EFEITO!$L$276*EFEITO!$Z$276</f>
        <v>46.488187159181138</v>
      </c>
      <c r="L276" s="61">
        <f>EFEITO!$N$276*EFEITO!$AA$276</f>
        <v>10.887428301599924</v>
      </c>
      <c r="M276" s="61">
        <f>$J$276-EFEITO!$K$276*EFEITO!$Y$276</f>
        <v>0</v>
      </c>
      <c r="N276" s="61">
        <f ca="1">$K$276-EFEITO!$M$276*EFEITO!$Z$276</f>
        <v>0</v>
      </c>
      <c r="O276" s="61">
        <f>$L$276-EFEITO!$O$276*EFEITO!$AA$276</f>
        <v>0</v>
      </c>
      <c r="P276" s="45"/>
      <c r="Q276" s="45"/>
      <c r="R276" s="45"/>
      <c r="S276" s="45"/>
      <c r="T276" s="45"/>
      <c r="U276" s="45"/>
      <c r="V276" s="45"/>
      <c r="W276" s="45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41" t="s">
        <v>21</v>
      </c>
      <c r="B277" s="41" t="s">
        <v>33</v>
      </c>
      <c r="C277" s="41" t="s">
        <v>40</v>
      </c>
      <c r="D277" s="41" t="s">
        <v>39</v>
      </c>
      <c r="E277" s="41" t="s">
        <v>25</v>
      </c>
      <c r="F277" s="41" t="s">
        <v>25</v>
      </c>
      <c r="G277" s="41" t="s">
        <v>25</v>
      </c>
      <c r="H277" s="41" t="s">
        <v>41</v>
      </c>
      <c r="I277" s="60">
        <v>44682</v>
      </c>
      <c r="J277" s="61">
        <f>EFEITO!$J$277*EFEITO!$Y$277</f>
        <v>0</v>
      </c>
      <c r="K277" s="61">
        <f ca="1">EFEITO!$L$277*EFEITO!$Z$277</f>
        <v>42.410276004867001</v>
      </c>
      <c r="L277" s="61">
        <f>EFEITO!$N$277*EFEITO!$AA$277</f>
        <v>9.9323907312841406</v>
      </c>
      <c r="M277" s="61">
        <f>$J$277-EFEITO!$K$277*EFEITO!$Y$277</f>
        <v>0</v>
      </c>
      <c r="N277" s="61">
        <f ca="1">$K$277-EFEITO!$M$277*EFEITO!$Z$277</f>
        <v>0</v>
      </c>
      <c r="O277" s="61">
        <f>$L$277-EFEITO!$O$277*EFEITO!$AA$277</f>
        <v>0</v>
      </c>
      <c r="P277" s="45"/>
      <c r="Q277" s="45"/>
      <c r="R277" s="45"/>
      <c r="S277" s="45"/>
      <c r="T277" s="45"/>
      <c r="U277" s="45"/>
      <c r="V277" s="45"/>
      <c r="W277" s="45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41" t="s">
        <v>21</v>
      </c>
      <c r="B278" s="41" t="s">
        <v>33</v>
      </c>
      <c r="C278" s="41" t="s">
        <v>40</v>
      </c>
      <c r="D278" s="41" t="s">
        <v>39</v>
      </c>
      <c r="E278" s="41" t="s">
        <v>25</v>
      </c>
      <c r="F278" s="41" t="s">
        <v>25</v>
      </c>
      <c r="G278" s="41" t="s">
        <v>25</v>
      </c>
      <c r="H278" s="41" t="s">
        <v>41</v>
      </c>
      <c r="I278" s="60">
        <v>44713</v>
      </c>
      <c r="J278" s="61">
        <f>EFEITO!$J$278*EFEITO!$Y$278</f>
        <v>0</v>
      </c>
      <c r="K278" s="61">
        <f ca="1">EFEITO!$L$278*EFEITO!$Z$278</f>
        <v>42.410276004867001</v>
      </c>
      <c r="L278" s="61">
        <f>EFEITO!$N$278*EFEITO!$AA$278</f>
        <v>9.9323907312841406</v>
      </c>
      <c r="M278" s="61">
        <f>$J$278-EFEITO!$K$278*EFEITO!$Y$278</f>
        <v>0</v>
      </c>
      <c r="N278" s="61">
        <f ca="1">$K$278-EFEITO!$M$278*EFEITO!$Z$278</f>
        <v>0</v>
      </c>
      <c r="O278" s="61">
        <f>$L$278-EFEITO!$O$278*EFEITO!$AA$278</f>
        <v>0</v>
      </c>
      <c r="P278" s="45"/>
      <c r="Q278" s="45"/>
      <c r="R278" s="45"/>
      <c r="S278" s="45"/>
      <c r="T278" s="45"/>
      <c r="U278" s="45"/>
      <c r="V278" s="45"/>
      <c r="W278" s="45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41" t="s">
        <v>21</v>
      </c>
      <c r="B279" s="41" t="s">
        <v>33</v>
      </c>
      <c r="C279" s="41" t="s">
        <v>40</v>
      </c>
      <c r="D279" s="41" t="s">
        <v>39</v>
      </c>
      <c r="E279" s="41" t="s">
        <v>25</v>
      </c>
      <c r="F279" s="41" t="s">
        <v>25</v>
      </c>
      <c r="G279" s="41" t="s">
        <v>25</v>
      </c>
      <c r="H279" s="41" t="s">
        <v>41</v>
      </c>
      <c r="I279" s="60">
        <v>44743</v>
      </c>
      <c r="J279" s="61">
        <f>EFEITO!$J$279*EFEITO!$Y$279</f>
        <v>0</v>
      </c>
      <c r="K279" s="61">
        <f ca="1">EFEITO!$L$279*EFEITO!$Z$279</f>
        <v>42.410276004867001</v>
      </c>
      <c r="L279" s="61">
        <f>EFEITO!$N$279*EFEITO!$AA$279</f>
        <v>9.9323907312841406</v>
      </c>
      <c r="M279" s="61">
        <f>$J$279-EFEITO!$K$279*EFEITO!$Y$279</f>
        <v>0</v>
      </c>
      <c r="N279" s="61">
        <f ca="1">$K$279-EFEITO!$M$279*EFEITO!$Z$279</f>
        <v>0</v>
      </c>
      <c r="O279" s="61">
        <f>$L$279-EFEITO!$O$279*EFEITO!$AA$279</f>
        <v>0</v>
      </c>
      <c r="P279" s="45"/>
      <c r="Q279" s="45"/>
      <c r="R279" s="45"/>
      <c r="S279" s="45"/>
      <c r="T279" s="45"/>
      <c r="U279" s="45"/>
      <c r="V279" s="45"/>
      <c r="W279" s="45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41" t="s">
        <v>55</v>
      </c>
      <c r="B280" s="41" t="s">
        <v>33</v>
      </c>
      <c r="C280" s="41" t="s">
        <v>40</v>
      </c>
      <c r="D280" s="41" t="s">
        <v>39</v>
      </c>
      <c r="E280" s="41" t="s">
        <v>25</v>
      </c>
      <c r="F280" s="41" t="s">
        <v>25</v>
      </c>
      <c r="G280" s="41" t="s">
        <v>25</v>
      </c>
      <c r="H280" s="41" t="s">
        <v>41</v>
      </c>
      <c r="I280" s="60">
        <v>44774</v>
      </c>
      <c r="J280" s="61">
        <f>EFEITO!$J$280*EFEITO!$Y$280</f>
        <v>0</v>
      </c>
      <c r="K280" s="61">
        <f ca="1">EFEITO!$L$280*EFEITO!$Z$280</f>
        <v>42.410276004867001</v>
      </c>
      <c r="L280" s="61">
        <f>EFEITO!$N$280*EFEITO!$AA$280</f>
        <v>9.9323907312841406</v>
      </c>
      <c r="M280" s="61">
        <f>$J$280-EFEITO!$K$280*EFEITO!$Y$280</f>
        <v>0</v>
      </c>
      <c r="N280" s="61">
        <f ca="1">$K$280-EFEITO!$M$280*EFEITO!$Z$280</f>
        <v>0</v>
      </c>
      <c r="O280" s="61">
        <f>$L$280-EFEITO!$O$280*EFEITO!$AA$280</f>
        <v>0</v>
      </c>
      <c r="P280" s="45"/>
      <c r="Q280" s="45"/>
      <c r="R280" s="45"/>
      <c r="S280" s="45"/>
      <c r="T280" s="45"/>
      <c r="U280" s="45"/>
      <c r="V280" s="45"/>
      <c r="W280" s="45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41" t="s">
        <v>21</v>
      </c>
      <c r="B281" s="41" t="s">
        <v>33</v>
      </c>
      <c r="C281" s="41" t="s">
        <v>40</v>
      </c>
      <c r="D281" s="41" t="s">
        <v>39</v>
      </c>
      <c r="E281" s="41" t="s">
        <v>25</v>
      </c>
      <c r="F281" s="41" t="s">
        <v>25</v>
      </c>
      <c r="G281" s="41" t="s">
        <v>25</v>
      </c>
      <c r="H281" s="41" t="s">
        <v>37</v>
      </c>
      <c r="I281" s="60">
        <v>44440</v>
      </c>
      <c r="J281" s="61">
        <f>EFEITO!$J$281*EFEITO!$Y$281</f>
        <v>0</v>
      </c>
      <c r="K281" s="61">
        <f ca="1">EFEITO!$L$281*EFEITO!$Z$281</f>
        <v>64.485090413251143</v>
      </c>
      <c r="L281" s="61">
        <f>EFEITO!$N$281*EFEITO!$AA$281</f>
        <v>9.5503757031578278</v>
      </c>
      <c r="M281" s="61">
        <f>$J$281-EFEITO!$K$281*EFEITO!$Y$281</f>
        <v>0</v>
      </c>
      <c r="N281" s="61">
        <f ca="1">$K$281-EFEITO!$M$281*EFEITO!$Z$281</f>
        <v>0</v>
      </c>
      <c r="O281" s="61">
        <f>$L$281-EFEITO!$O$281*EFEITO!$AA$281</f>
        <v>0</v>
      </c>
      <c r="P281" s="45"/>
      <c r="Q281" s="45"/>
      <c r="R281" s="45"/>
      <c r="S281" s="45"/>
      <c r="T281" s="45"/>
      <c r="U281" s="45"/>
      <c r="V281" s="45"/>
      <c r="W281" s="45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41" t="s">
        <v>21</v>
      </c>
      <c r="B282" s="41" t="s">
        <v>33</v>
      </c>
      <c r="C282" s="41" t="s">
        <v>40</v>
      </c>
      <c r="D282" s="41" t="s">
        <v>39</v>
      </c>
      <c r="E282" s="41" t="s">
        <v>25</v>
      </c>
      <c r="F282" s="41" t="s">
        <v>25</v>
      </c>
      <c r="G282" s="41" t="s">
        <v>25</v>
      </c>
      <c r="H282" s="41" t="s">
        <v>37</v>
      </c>
      <c r="I282" s="60">
        <v>44470</v>
      </c>
      <c r="J282" s="61">
        <f>EFEITO!$J$282*EFEITO!$Y$282</f>
        <v>0</v>
      </c>
      <c r="K282" s="61">
        <f ca="1">EFEITO!$L$282*EFEITO!$Z$282</f>
        <v>67.064494029781187</v>
      </c>
      <c r="L282" s="61">
        <f>EFEITO!$N$282*EFEITO!$AA$282</f>
        <v>9.9323907312841406</v>
      </c>
      <c r="M282" s="61">
        <f>$J$282-EFEITO!$K$282*EFEITO!$Y$282</f>
        <v>0</v>
      </c>
      <c r="N282" s="61">
        <f ca="1">$K$282-EFEITO!$M$282*EFEITO!$Z$282</f>
        <v>0</v>
      </c>
      <c r="O282" s="61">
        <f>$L$282-EFEITO!$O$282*EFEITO!$AA$282</f>
        <v>0</v>
      </c>
      <c r="P282" s="45"/>
      <c r="Q282" s="45"/>
      <c r="R282" s="45"/>
      <c r="S282" s="45"/>
      <c r="T282" s="45"/>
      <c r="U282" s="45"/>
      <c r="V282" s="45"/>
      <c r="W282" s="45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41" t="s">
        <v>21</v>
      </c>
      <c r="B283" s="41" t="s">
        <v>33</v>
      </c>
      <c r="C283" s="41" t="s">
        <v>40</v>
      </c>
      <c r="D283" s="41" t="s">
        <v>39</v>
      </c>
      <c r="E283" s="41" t="s">
        <v>25</v>
      </c>
      <c r="F283" s="41" t="s">
        <v>25</v>
      </c>
      <c r="G283" s="41" t="s">
        <v>25</v>
      </c>
      <c r="H283" s="41" t="s">
        <v>37</v>
      </c>
      <c r="I283" s="60">
        <v>44501</v>
      </c>
      <c r="J283" s="61">
        <f>EFEITO!$J$283*EFEITO!$Y$283</f>
        <v>0</v>
      </c>
      <c r="K283" s="61">
        <f ca="1">EFEITO!$L$283*EFEITO!$Z$283</f>
        <v>67.064494029781187</v>
      </c>
      <c r="L283" s="61">
        <f>EFEITO!$N$283*EFEITO!$AA$283</f>
        <v>9.9323907312841406</v>
      </c>
      <c r="M283" s="61">
        <f>$J$283-EFEITO!$K$283*EFEITO!$Y$283</f>
        <v>0</v>
      </c>
      <c r="N283" s="61">
        <f ca="1">$K$283-EFEITO!$M$283*EFEITO!$Z$283</f>
        <v>0</v>
      </c>
      <c r="O283" s="61">
        <f>$L$283-EFEITO!$O$283*EFEITO!$AA$283</f>
        <v>0</v>
      </c>
      <c r="P283" s="45"/>
      <c r="Q283" s="45"/>
      <c r="R283" s="45"/>
      <c r="S283" s="45"/>
      <c r="T283" s="45"/>
      <c r="U283" s="45"/>
      <c r="V283" s="45"/>
      <c r="W283" s="45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41" t="s">
        <v>21</v>
      </c>
      <c r="B284" s="41" t="s">
        <v>33</v>
      </c>
      <c r="C284" s="41" t="s">
        <v>40</v>
      </c>
      <c r="D284" s="41" t="s">
        <v>39</v>
      </c>
      <c r="E284" s="41" t="s">
        <v>25</v>
      </c>
      <c r="F284" s="41" t="s">
        <v>25</v>
      </c>
      <c r="G284" s="41" t="s">
        <v>25</v>
      </c>
      <c r="H284" s="41" t="s">
        <v>37</v>
      </c>
      <c r="I284" s="60">
        <v>44531</v>
      </c>
      <c r="J284" s="61">
        <f>EFEITO!$J$284*EFEITO!$Y$284</f>
        <v>0</v>
      </c>
      <c r="K284" s="61">
        <f ca="1">EFEITO!$L$284*EFEITO!$Z$284</f>
        <v>73.513003071106311</v>
      </c>
      <c r="L284" s="61">
        <f>EFEITO!$N$284*EFEITO!$AA$284</f>
        <v>10.887428301599924</v>
      </c>
      <c r="M284" s="61">
        <f>$J$284-EFEITO!$K$284*EFEITO!$Y$284</f>
        <v>0</v>
      </c>
      <c r="N284" s="61">
        <f ca="1">$K$284-EFEITO!$M$284*EFEITO!$Z$284</f>
        <v>0</v>
      </c>
      <c r="O284" s="61">
        <f>$L$284-EFEITO!$O$284*EFEITO!$AA$284</f>
        <v>0</v>
      </c>
      <c r="P284" s="45"/>
      <c r="Q284" s="45"/>
      <c r="R284" s="45"/>
      <c r="S284" s="45"/>
      <c r="T284" s="45"/>
      <c r="U284" s="45"/>
      <c r="V284" s="45"/>
      <c r="W284" s="45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41" t="s">
        <v>21</v>
      </c>
      <c r="B285" s="41" t="s">
        <v>33</v>
      </c>
      <c r="C285" s="41" t="s">
        <v>40</v>
      </c>
      <c r="D285" s="41" t="s">
        <v>39</v>
      </c>
      <c r="E285" s="41" t="s">
        <v>25</v>
      </c>
      <c r="F285" s="41" t="s">
        <v>25</v>
      </c>
      <c r="G285" s="41" t="s">
        <v>25</v>
      </c>
      <c r="H285" s="41" t="s">
        <v>37</v>
      </c>
      <c r="I285" s="60">
        <v>44562</v>
      </c>
      <c r="J285" s="61">
        <f>EFEITO!$J$285*EFEITO!$Y$285</f>
        <v>0</v>
      </c>
      <c r="K285" s="61">
        <f ca="1">EFEITO!$L$285*EFEITO!$Z$285</f>
        <v>96.727635619876722</v>
      </c>
      <c r="L285" s="61">
        <f>EFEITO!$N$285*EFEITO!$AA$285</f>
        <v>14.325563554736741</v>
      </c>
      <c r="M285" s="61">
        <f>$J$285-EFEITO!$K$285*EFEITO!$Y$285</f>
        <v>0</v>
      </c>
      <c r="N285" s="61">
        <f ca="1">$K$285-EFEITO!$M$285*EFEITO!$Z$285</f>
        <v>0</v>
      </c>
      <c r="O285" s="61">
        <f>$L$285-EFEITO!$O$285*EFEITO!$AA$285</f>
        <v>0</v>
      </c>
      <c r="P285" s="45"/>
      <c r="Q285" s="45"/>
      <c r="R285" s="45"/>
      <c r="S285" s="45"/>
      <c r="T285" s="45"/>
      <c r="U285" s="45"/>
      <c r="V285" s="45"/>
      <c r="W285" s="45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41" t="s">
        <v>21</v>
      </c>
      <c r="B286" s="41" t="s">
        <v>33</v>
      </c>
      <c r="C286" s="41" t="s">
        <v>40</v>
      </c>
      <c r="D286" s="41" t="s">
        <v>39</v>
      </c>
      <c r="E286" s="41" t="s">
        <v>25</v>
      </c>
      <c r="F286" s="41" t="s">
        <v>25</v>
      </c>
      <c r="G286" s="41" t="s">
        <v>25</v>
      </c>
      <c r="H286" s="41" t="s">
        <v>37</v>
      </c>
      <c r="I286" s="60">
        <v>44593</v>
      </c>
      <c r="J286" s="61">
        <f>EFEITO!$J$286*EFEITO!$Y$286</f>
        <v>0</v>
      </c>
      <c r="K286" s="61">
        <f ca="1">EFEITO!$L$286*EFEITO!$Z$286</f>
        <v>136.70839167609242</v>
      </c>
      <c r="L286" s="61">
        <f>EFEITO!$N$286*EFEITO!$AA$286</f>
        <v>20.246796490694592</v>
      </c>
      <c r="M286" s="61">
        <f>$J$286-EFEITO!$K$286*EFEITO!$Y$286</f>
        <v>0</v>
      </c>
      <c r="N286" s="61">
        <f ca="1">$K$286-EFEITO!$M$286*EFEITO!$Z$286</f>
        <v>0</v>
      </c>
      <c r="O286" s="61">
        <f>$L$286-EFEITO!$O$286*EFEITO!$AA$286</f>
        <v>0</v>
      </c>
      <c r="P286" s="45"/>
      <c r="Q286" s="45"/>
      <c r="R286" s="45"/>
      <c r="S286" s="45"/>
      <c r="T286" s="45"/>
      <c r="U286" s="45"/>
      <c r="V286" s="45"/>
      <c r="W286" s="45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41" t="s">
        <v>21</v>
      </c>
      <c r="B287" s="41" t="s">
        <v>33</v>
      </c>
      <c r="C287" s="41" t="s">
        <v>40</v>
      </c>
      <c r="D287" s="41" t="s">
        <v>39</v>
      </c>
      <c r="E287" s="41" t="s">
        <v>25</v>
      </c>
      <c r="F287" s="41" t="s">
        <v>25</v>
      </c>
      <c r="G287" s="41" t="s">
        <v>25</v>
      </c>
      <c r="H287" s="41" t="s">
        <v>37</v>
      </c>
      <c r="I287" s="60">
        <v>44621</v>
      </c>
      <c r="J287" s="61">
        <f>EFEITO!$J$287*EFEITO!$Y$287</f>
        <v>0</v>
      </c>
      <c r="K287" s="61">
        <f ca="1">EFEITO!$L$287*EFEITO!$Z$287</f>
        <v>96.727635619876722</v>
      </c>
      <c r="L287" s="61">
        <f>EFEITO!$N$287*EFEITO!$AA$287</f>
        <v>14.325563554736741</v>
      </c>
      <c r="M287" s="61">
        <f>$J$287-EFEITO!$K$287*EFEITO!$Y$287</f>
        <v>0</v>
      </c>
      <c r="N287" s="61">
        <f ca="1">$K$287-EFEITO!$M$287*EFEITO!$Z$287</f>
        <v>0</v>
      </c>
      <c r="O287" s="61">
        <f>$L$287-EFEITO!$O$287*EFEITO!$AA$287</f>
        <v>0</v>
      </c>
      <c r="P287" s="45"/>
      <c r="Q287" s="45"/>
      <c r="R287" s="45"/>
      <c r="S287" s="45"/>
      <c r="T287" s="45"/>
      <c r="U287" s="45"/>
      <c r="V287" s="45"/>
      <c r="W287" s="45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41" t="s">
        <v>21</v>
      </c>
      <c r="B288" s="41" t="s">
        <v>33</v>
      </c>
      <c r="C288" s="41" t="s">
        <v>40</v>
      </c>
      <c r="D288" s="41" t="s">
        <v>39</v>
      </c>
      <c r="E288" s="41" t="s">
        <v>25</v>
      </c>
      <c r="F288" s="41" t="s">
        <v>25</v>
      </c>
      <c r="G288" s="41" t="s">
        <v>25</v>
      </c>
      <c r="H288" s="41" t="s">
        <v>37</v>
      </c>
      <c r="I288" s="60">
        <v>44652</v>
      </c>
      <c r="J288" s="61">
        <f>EFEITO!$J$288*EFEITO!$Y$288</f>
        <v>0</v>
      </c>
      <c r="K288" s="61">
        <f ca="1">EFEITO!$L$288*EFEITO!$Z$288</f>
        <v>112.20405731905699</v>
      </c>
      <c r="L288" s="61">
        <f>EFEITO!$N$288*EFEITO!$AA$288</f>
        <v>16.61765372349462</v>
      </c>
      <c r="M288" s="61">
        <f>$J$288-EFEITO!$K$288*EFEITO!$Y$288</f>
        <v>0</v>
      </c>
      <c r="N288" s="61">
        <f ca="1">$K$288-EFEITO!$M$288*EFEITO!$Z$288</f>
        <v>0</v>
      </c>
      <c r="O288" s="61">
        <f>$L$288-EFEITO!$O$288*EFEITO!$AA$288</f>
        <v>0</v>
      </c>
      <c r="P288" s="45"/>
      <c r="Q288" s="45"/>
      <c r="R288" s="45"/>
      <c r="S288" s="45"/>
      <c r="T288" s="45"/>
      <c r="U288" s="45"/>
      <c r="V288" s="45"/>
      <c r="W288" s="45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41" t="s">
        <v>21</v>
      </c>
      <c r="B289" s="41" t="s">
        <v>33</v>
      </c>
      <c r="C289" s="41" t="s">
        <v>40</v>
      </c>
      <c r="D289" s="41" t="s">
        <v>39</v>
      </c>
      <c r="E289" s="41" t="s">
        <v>25</v>
      </c>
      <c r="F289" s="41" t="s">
        <v>25</v>
      </c>
      <c r="G289" s="41" t="s">
        <v>25</v>
      </c>
      <c r="H289" s="41" t="s">
        <v>37</v>
      </c>
      <c r="I289" s="60">
        <v>44682</v>
      </c>
      <c r="J289" s="61">
        <f>EFEITO!$J$289*EFEITO!$Y$289</f>
        <v>0</v>
      </c>
      <c r="K289" s="61">
        <f ca="1">EFEITO!$L$289*EFEITO!$Z$289</f>
        <v>100.59674104467179</v>
      </c>
      <c r="L289" s="61">
        <f>EFEITO!$N$289*EFEITO!$AA$289</f>
        <v>14.898586096926211</v>
      </c>
      <c r="M289" s="61">
        <f>$J$289-EFEITO!$K$289*EFEITO!$Y$289</f>
        <v>0</v>
      </c>
      <c r="N289" s="61">
        <f ca="1">$K$289-EFEITO!$M$289*EFEITO!$Z$289</f>
        <v>0</v>
      </c>
      <c r="O289" s="61">
        <f>$L$289-EFEITO!$O$289*EFEITO!$AA$289</f>
        <v>0</v>
      </c>
      <c r="P289" s="45"/>
      <c r="Q289" s="45"/>
      <c r="R289" s="45"/>
      <c r="S289" s="45"/>
      <c r="T289" s="45"/>
      <c r="U289" s="45"/>
      <c r="V289" s="45"/>
      <c r="W289" s="45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41" t="s">
        <v>21</v>
      </c>
      <c r="B290" s="41" t="s">
        <v>33</v>
      </c>
      <c r="C290" s="41" t="s">
        <v>40</v>
      </c>
      <c r="D290" s="41" t="s">
        <v>39</v>
      </c>
      <c r="E290" s="41" t="s">
        <v>25</v>
      </c>
      <c r="F290" s="41" t="s">
        <v>25</v>
      </c>
      <c r="G290" s="41" t="s">
        <v>25</v>
      </c>
      <c r="H290" s="41" t="s">
        <v>37</v>
      </c>
      <c r="I290" s="60">
        <v>44713</v>
      </c>
      <c r="J290" s="61">
        <f>EFEITO!$J$290*EFEITO!$Y$290</f>
        <v>0</v>
      </c>
      <c r="K290" s="61">
        <f ca="1">EFEITO!$L$290*EFEITO!$Z$290</f>
        <v>103.17614466120183</v>
      </c>
      <c r="L290" s="61">
        <f>EFEITO!$N$290*EFEITO!$AA$290</f>
        <v>15.280601125052524</v>
      </c>
      <c r="M290" s="61">
        <f>$J$290-EFEITO!$K$290*EFEITO!$Y$290</f>
        <v>0</v>
      </c>
      <c r="N290" s="61">
        <f ca="1">$K$290-EFEITO!$M$290*EFEITO!$Z$290</f>
        <v>0</v>
      </c>
      <c r="O290" s="61">
        <f>$L$290-EFEITO!$O$290*EFEITO!$AA$290</f>
        <v>0</v>
      </c>
      <c r="P290" s="45"/>
      <c r="Q290" s="45"/>
      <c r="R290" s="45"/>
      <c r="S290" s="45"/>
      <c r="T290" s="45"/>
      <c r="U290" s="45"/>
      <c r="V290" s="45"/>
      <c r="W290" s="45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41" t="s">
        <v>21</v>
      </c>
      <c r="B291" s="41" t="s">
        <v>33</v>
      </c>
      <c r="C291" s="41" t="s">
        <v>40</v>
      </c>
      <c r="D291" s="41" t="s">
        <v>39</v>
      </c>
      <c r="E291" s="41" t="s">
        <v>25</v>
      </c>
      <c r="F291" s="41" t="s">
        <v>25</v>
      </c>
      <c r="G291" s="41" t="s">
        <v>25</v>
      </c>
      <c r="H291" s="41" t="s">
        <v>37</v>
      </c>
      <c r="I291" s="60">
        <v>44743</v>
      </c>
      <c r="J291" s="61">
        <f>EFEITO!$J$291*EFEITO!$Y$291</f>
        <v>0</v>
      </c>
      <c r="K291" s="61">
        <f ca="1">EFEITO!$L$291*EFEITO!$Z$291</f>
        <v>100.59674104467179</v>
      </c>
      <c r="L291" s="61">
        <f>EFEITO!$N$291*EFEITO!$AA$291</f>
        <v>14.898586096926211</v>
      </c>
      <c r="M291" s="61">
        <f>$J$291-EFEITO!$K$291*EFEITO!$Y$291</f>
        <v>0</v>
      </c>
      <c r="N291" s="61">
        <f ca="1">$K$291-EFEITO!$M$291*EFEITO!$Z$291</f>
        <v>0</v>
      </c>
      <c r="O291" s="61">
        <f>$L$291-EFEITO!$O$291*EFEITO!$AA$291</f>
        <v>0</v>
      </c>
      <c r="P291" s="45"/>
      <c r="Q291" s="45"/>
      <c r="R291" s="45"/>
      <c r="S291" s="45"/>
      <c r="T291" s="45"/>
      <c r="U291" s="45"/>
      <c r="V291" s="45"/>
      <c r="W291" s="45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41" t="s">
        <v>55</v>
      </c>
      <c r="B292" s="41" t="s">
        <v>33</v>
      </c>
      <c r="C292" s="41" t="s">
        <v>40</v>
      </c>
      <c r="D292" s="41" t="s">
        <v>39</v>
      </c>
      <c r="E292" s="41" t="s">
        <v>25</v>
      </c>
      <c r="F292" s="41" t="s">
        <v>25</v>
      </c>
      <c r="G292" s="41" t="s">
        <v>25</v>
      </c>
      <c r="H292" s="41" t="s">
        <v>37</v>
      </c>
      <c r="I292" s="60">
        <v>44774</v>
      </c>
      <c r="J292" s="61">
        <f>EFEITO!$J$292*EFEITO!$Y$292</f>
        <v>0</v>
      </c>
      <c r="K292" s="61">
        <f ca="1">EFEITO!$L$292*EFEITO!$Z$292</f>
        <v>100.59674104467179</v>
      </c>
      <c r="L292" s="61">
        <f>EFEITO!$N$292*EFEITO!$AA$292</f>
        <v>14.898586096926211</v>
      </c>
      <c r="M292" s="61">
        <f>$J$292-EFEITO!$K$292*EFEITO!$Y$292</f>
        <v>0</v>
      </c>
      <c r="N292" s="61">
        <f ca="1">$K$292-EFEITO!$M$292*EFEITO!$Z$292</f>
        <v>0</v>
      </c>
      <c r="O292" s="61">
        <f>$L$292-EFEITO!$O$292*EFEITO!$AA$292</f>
        <v>0</v>
      </c>
      <c r="P292" s="45"/>
      <c r="Q292" s="45"/>
      <c r="R292" s="45"/>
      <c r="S292" s="45"/>
      <c r="T292" s="45"/>
      <c r="U292" s="45"/>
      <c r="V292" s="45"/>
      <c r="W292" s="45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41" t="s">
        <v>21</v>
      </c>
      <c r="B293" s="41" t="s">
        <v>33</v>
      </c>
      <c r="C293" s="41" t="s">
        <v>23</v>
      </c>
      <c r="D293" s="41" t="s">
        <v>39</v>
      </c>
      <c r="E293" s="41" t="s">
        <v>25</v>
      </c>
      <c r="F293" s="41" t="s">
        <v>25</v>
      </c>
      <c r="G293" s="41" t="s">
        <v>25</v>
      </c>
      <c r="H293" s="41" t="s">
        <v>25</v>
      </c>
      <c r="I293" s="60">
        <v>44440</v>
      </c>
      <c r="J293" s="61">
        <f>EFEITO!$J$293*EFEITO!$Y$293</f>
        <v>0</v>
      </c>
      <c r="K293" s="61">
        <f ca="1">EFEITO!$L$293*EFEITO!$Z$293</f>
        <v>70816.987194769827</v>
      </c>
      <c r="L293" s="61">
        <f>EFEITO!$N$293*EFEITO!$AA$293</f>
        <v>30191.793717906905</v>
      </c>
      <c r="M293" s="61">
        <f>$J$293-EFEITO!$K$293*EFEITO!$Y$293</f>
        <v>0</v>
      </c>
      <c r="N293" s="61">
        <f ca="1">$K$293-EFEITO!$M$293*EFEITO!$Z$293</f>
        <v>0</v>
      </c>
      <c r="O293" s="61">
        <f>$L$293-EFEITO!$O$293*EFEITO!$AA$293</f>
        <v>0</v>
      </c>
      <c r="P293" s="45"/>
      <c r="Q293" s="45"/>
      <c r="R293" s="45"/>
      <c r="S293" s="45"/>
      <c r="T293" s="45"/>
      <c r="U293" s="45"/>
      <c r="V293" s="45"/>
      <c r="W293" s="45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41" t="s">
        <v>28</v>
      </c>
      <c r="B294" s="41" t="s">
        <v>33</v>
      </c>
      <c r="C294" s="41" t="s">
        <v>23</v>
      </c>
      <c r="D294" s="41" t="s">
        <v>39</v>
      </c>
      <c r="E294" s="41" t="s">
        <v>25</v>
      </c>
      <c r="F294" s="41" t="s">
        <v>25</v>
      </c>
      <c r="G294" s="41" t="s">
        <v>25</v>
      </c>
      <c r="H294" s="41" t="s">
        <v>25</v>
      </c>
      <c r="I294" s="60">
        <v>44440</v>
      </c>
      <c r="J294" s="61">
        <f>EFEITO!$J$294*EFEITO!$Y$294</f>
        <v>0</v>
      </c>
      <c r="K294" s="61">
        <f ca="1">EFEITO!$L$294*EFEITO!$Z$294</f>
        <v>6660.2895729470492</v>
      </c>
      <c r="L294" s="61">
        <f>EFEITO!$N$294*EFEITO!$AA$294</f>
        <v>2839.5177040628851</v>
      </c>
      <c r="M294" s="61">
        <f>$J$294-EFEITO!$K$294*EFEITO!$Y$294</f>
        <v>0</v>
      </c>
      <c r="N294" s="61">
        <f ca="1">$K$294-EFEITO!$M$294*EFEITO!$Z$294</f>
        <v>0</v>
      </c>
      <c r="O294" s="61">
        <f>$L$294-EFEITO!$O$294*EFEITO!$AA$294</f>
        <v>0</v>
      </c>
      <c r="P294" s="45"/>
      <c r="Q294" s="45"/>
      <c r="R294" s="45"/>
      <c r="S294" s="45"/>
      <c r="T294" s="45"/>
      <c r="U294" s="45"/>
      <c r="V294" s="45"/>
      <c r="W294" s="45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41" t="s">
        <v>21</v>
      </c>
      <c r="B295" s="41" t="s">
        <v>33</v>
      </c>
      <c r="C295" s="41" t="s">
        <v>23</v>
      </c>
      <c r="D295" s="41" t="s">
        <v>39</v>
      </c>
      <c r="E295" s="41" t="s">
        <v>25</v>
      </c>
      <c r="F295" s="41" t="s">
        <v>25</v>
      </c>
      <c r="G295" s="41" t="s">
        <v>25</v>
      </c>
      <c r="H295" s="41" t="s">
        <v>25</v>
      </c>
      <c r="I295" s="60">
        <v>44470</v>
      </c>
      <c r="J295" s="61">
        <f>EFEITO!$J$295*EFEITO!$Y$295</f>
        <v>0</v>
      </c>
      <c r="K295" s="61">
        <f ca="1">EFEITO!$L$295*EFEITO!$Z$295</f>
        <v>71064.29513532322</v>
      </c>
      <c r="L295" s="61">
        <f>EFEITO!$N$295*EFEITO!$AA$295</f>
        <v>30297.229865669764</v>
      </c>
      <c r="M295" s="61">
        <f>$J$295-EFEITO!$K$295*EFEITO!$Y$295</f>
        <v>0</v>
      </c>
      <c r="N295" s="61">
        <f ca="1">$K$295-EFEITO!$M$295*EFEITO!$Z$295</f>
        <v>0</v>
      </c>
      <c r="O295" s="61">
        <f>$L$295-EFEITO!$O$295*EFEITO!$AA$295</f>
        <v>0</v>
      </c>
      <c r="P295" s="45"/>
      <c r="Q295" s="45"/>
      <c r="R295" s="45"/>
      <c r="S295" s="45"/>
      <c r="T295" s="45"/>
      <c r="U295" s="45"/>
      <c r="V295" s="45"/>
      <c r="W295" s="45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41" t="s">
        <v>27</v>
      </c>
      <c r="B296" s="41" t="s">
        <v>33</v>
      </c>
      <c r="C296" s="41" t="s">
        <v>23</v>
      </c>
      <c r="D296" s="41" t="s">
        <v>39</v>
      </c>
      <c r="E296" s="41" t="s">
        <v>25</v>
      </c>
      <c r="F296" s="41" t="s">
        <v>25</v>
      </c>
      <c r="G296" s="41" t="s">
        <v>25</v>
      </c>
      <c r="H296" s="41" t="s">
        <v>25</v>
      </c>
      <c r="I296" s="60">
        <v>44470</v>
      </c>
      <c r="J296" s="61">
        <f>EFEITO!$J$296*EFEITO!$Y$296</f>
        <v>0</v>
      </c>
      <c r="K296" s="61">
        <f ca="1">EFEITO!$L$296*EFEITO!$Z$296</f>
        <v>435.47702575706523</v>
      </c>
      <c r="L296" s="61">
        <f>EFEITO!$N$296*EFEITO!$AA$296</f>
        <v>185.65930366938815</v>
      </c>
      <c r="M296" s="61">
        <f>$J$296-EFEITO!$K$296*EFEITO!$Y$296</f>
        <v>0</v>
      </c>
      <c r="N296" s="61">
        <f ca="1">$K$296-EFEITO!$M$296*EFEITO!$Z$296</f>
        <v>0</v>
      </c>
      <c r="O296" s="61">
        <f>$L$296-EFEITO!$O$296*EFEITO!$AA$296</f>
        <v>0</v>
      </c>
      <c r="P296" s="45"/>
      <c r="Q296" s="45"/>
      <c r="R296" s="45"/>
      <c r="S296" s="45"/>
      <c r="T296" s="45"/>
      <c r="U296" s="45"/>
      <c r="V296" s="45"/>
      <c r="W296" s="45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41" t="s">
        <v>28</v>
      </c>
      <c r="B297" s="41" t="s">
        <v>33</v>
      </c>
      <c r="C297" s="41" t="s">
        <v>23</v>
      </c>
      <c r="D297" s="41" t="s">
        <v>39</v>
      </c>
      <c r="E297" s="41" t="s">
        <v>25</v>
      </c>
      <c r="F297" s="41" t="s">
        <v>25</v>
      </c>
      <c r="G297" s="41" t="s">
        <v>25</v>
      </c>
      <c r="H297" s="41" t="s">
        <v>25</v>
      </c>
      <c r="I297" s="60">
        <v>44470</v>
      </c>
      <c r="J297" s="61">
        <f>EFEITO!$J$297*EFEITO!$Y$297</f>
        <v>0</v>
      </c>
      <c r="K297" s="61">
        <f ca="1">EFEITO!$L$297*EFEITO!$Z$297</f>
        <v>3338.6571974708336</v>
      </c>
      <c r="L297" s="61">
        <f>EFEITO!$N$297*EFEITO!$AA$297</f>
        <v>1423.3879947986427</v>
      </c>
      <c r="M297" s="61">
        <f>$J$297-EFEITO!$K$297*EFEITO!$Y$297</f>
        <v>0</v>
      </c>
      <c r="N297" s="61">
        <f ca="1">$K$297-EFEITO!$M$297*EFEITO!$Z$297</f>
        <v>0</v>
      </c>
      <c r="O297" s="61">
        <f>$L$297-EFEITO!$O$297*EFEITO!$AA$297</f>
        <v>0</v>
      </c>
      <c r="P297" s="45"/>
      <c r="Q297" s="45"/>
      <c r="R297" s="45"/>
      <c r="S297" s="45"/>
      <c r="T297" s="45"/>
      <c r="U297" s="45"/>
      <c r="V297" s="45"/>
      <c r="W297" s="45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41" t="s">
        <v>21</v>
      </c>
      <c r="B298" s="41" t="s">
        <v>33</v>
      </c>
      <c r="C298" s="41" t="s">
        <v>23</v>
      </c>
      <c r="D298" s="41" t="s">
        <v>39</v>
      </c>
      <c r="E298" s="41" t="s">
        <v>25</v>
      </c>
      <c r="F298" s="41" t="s">
        <v>25</v>
      </c>
      <c r="G298" s="41" t="s">
        <v>25</v>
      </c>
      <c r="H298" s="41" t="s">
        <v>25</v>
      </c>
      <c r="I298" s="60">
        <v>44501</v>
      </c>
      <c r="J298" s="61">
        <f>EFEITO!$J$298*EFEITO!$Y$298</f>
        <v>0</v>
      </c>
      <c r="K298" s="61">
        <f ca="1">EFEITO!$L$298*EFEITO!$Z$298</f>
        <v>79863.887998383419</v>
      </c>
      <c r="L298" s="61">
        <f>EFEITO!$N$298*EFEITO!$AA$298</f>
        <v>34048.808449384218</v>
      </c>
      <c r="M298" s="61">
        <f>$J$298-EFEITO!$K$298*EFEITO!$Y$298</f>
        <v>0</v>
      </c>
      <c r="N298" s="61">
        <f ca="1">$K$298-EFEITO!$M$298*EFEITO!$Z$298</f>
        <v>0</v>
      </c>
      <c r="O298" s="61">
        <f>$L$298-EFEITO!$O$298*EFEITO!$AA$298</f>
        <v>0</v>
      </c>
      <c r="P298" s="45"/>
      <c r="Q298" s="45"/>
      <c r="R298" s="45"/>
      <c r="S298" s="45"/>
      <c r="T298" s="45"/>
      <c r="U298" s="45"/>
      <c r="V298" s="45"/>
      <c r="W298" s="45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41" t="s">
        <v>28</v>
      </c>
      <c r="B299" s="41" t="s">
        <v>33</v>
      </c>
      <c r="C299" s="41" t="s">
        <v>23</v>
      </c>
      <c r="D299" s="41" t="s">
        <v>39</v>
      </c>
      <c r="E299" s="41" t="s">
        <v>25</v>
      </c>
      <c r="F299" s="41" t="s">
        <v>25</v>
      </c>
      <c r="G299" s="41" t="s">
        <v>25</v>
      </c>
      <c r="H299" s="41" t="s">
        <v>25</v>
      </c>
      <c r="I299" s="60">
        <v>44501</v>
      </c>
      <c r="J299" s="61">
        <f>EFEITO!$J$299*EFEITO!$Y$299</f>
        <v>0</v>
      </c>
      <c r="K299" s="61">
        <f ca="1">EFEITO!$L$299*EFEITO!$Z$299</f>
        <v>571.67560171400748</v>
      </c>
      <c r="L299" s="61">
        <f>EFEITO!$N$299*EFEITO!$AA$299</f>
        <v>243.72558794458777</v>
      </c>
      <c r="M299" s="61">
        <f>$J$299-EFEITO!$K$299*EFEITO!$Y$299</f>
        <v>0</v>
      </c>
      <c r="N299" s="61">
        <f ca="1">$K$299-EFEITO!$M$299*EFEITO!$Z$299</f>
        <v>0</v>
      </c>
      <c r="O299" s="61">
        <f>$L$299-EFEITO!$O$299*EFEITO!$AA$299</f>
        <v>0</v>
      </c>
      <c r="P299" s="45"/>
      <c r="Q299" s="45"/>
      <c r="R299" s="45"/>
      <c r="S299" s="45"/>
      <c r="T299" s="45"/>
      <c r="U299" s="45"/>
      <c r="V299" s="45"/>
      <c r="W299" s="45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41" t="s">
        <v>21</v>
      </c>
      <c r="B300" s="41" t="s">
        <v>33</v>
      </c>
      <c r="C300" s="41" t="s">
        <v>23</v>
      </c>
      <c r="D300" s="41" t="s">
        <v>39</v>
      </c>
      <c r="E300" s="41" t="s">
        <v>25</v>
      </c>
      <c r="F300" s="41" t="s">
        <v>25</v>
      </c>
      <c r="G300" s="41" t="s">
        <v>25</v>
      </c>
      <c r="H300" s="41" t="s">
        <v>25</v>
      </c>
      <c r="I300" s="60">
        <v>44531</v>
      </c>
      <c r="J300" s="61">
        <f>EFEITO!$J$300*EFEITO!$Y$300</f>
        <v>0</v>
      </c>
      <c r="K300" s="61">
        <f ca="1">EFEITO!$L$300*EFEITO!$Z$300</f>
        <v>86059.131117898549</v>
      </c>
      <c r="L300" s="61">
        <f>EFEITO!$N$300*EFEITO!$AA$300</f>
        <v>36690.060353849549</v>
      </c>
      <c r="M300" s="61">
        <f>$J$300-EFEITO!$K$300*EFEITO!$Y$300</f>
        <v>0</v>
      </c>
      <c r="N300" s="61">
        <f ca="1">$K$300-EFEITO!$M$300*EFEITO!$Z$300</f>
        <v>0</v>
      </c>
      <c r="O300" s="61">
        <f>$L$300-EFEITO!$O$300*EFEITO!$AA$300</f>
        <v>0</v>
      </c>
      <c r="P300" s="45"/>
      <c r="Q300" s="45"/>
      <c r="R300" s="45"/>
      <c r="S300" s="45"/>
      <c r="T300" s="45"/>
      <c r="U300" s="45"/>
      <c r="V300" s="45"/>
      <c r="W300" s="45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41" t="s">
        <v>28</v>
      </c>
      <c r="B301" s="41" t="s">
        <v>33</v>
      </c>
      <c r="C301" s="41" t="s">
        <v>23</v>
      </c>
      <c r="D301" s="41" t="s">
        <v>39</v>
      </c>
      <c r="E301" s="41" t="s">
        <v>25</v>
      </c>
      <c r="F301" s="41" t="s">
        <v>25</v>
      </c>
      <c r="G301" s="41" t="s">
        <v>25</v>
      </c>
      <c r="H301" s="41" t="s">
        <v>25</v>
      </c>
      <c r="I301" s="60">
        <v>44531</v>
      </c>
      <c r="J301" s="61">
        <f>EFEITO!$J$301*EFEITO!$Y$301</f>
        <v>0</v>
      </c>
      <c r="K301" s="61">
        <f ca="1">EFEITO!$L$301*EFEITO!$Z$301</f>
        <v>668.00025247302915</v>
      </c>
      <c r="L301" s="61">
        <f>EFEITO!$N$301*EFEITO!$AA$301</f>
        <v>284.79220346816641</v>
      </c>
      <c r="M301" s="61">
        <f>$J$301-EFEITO!$K$301*EFEITO!$Y$301</f>
        <v>0</v>
      </c>
      <c r="N301" s="61">
        <f ca="1">$K$301-EFEITO!$M$301*EFEITO!$Z$301</f>
        <v>0</v>
      </c>
      <c r="O301" s="61">
        <f>$L$301-EFEITO!$O$301*EFEITO!$AA$301</f>
        <v>0</v>
      </c>
      <c r="P301" s="45"/>
      <c r="Q301" s="45"/>
      <c r="R301" s="45"/>
      <c r="S301" s="45"/>
      <c r="T301" s="45"/>
      <c r="U301" s="45"/>
      <c r="V301" s="45"/>
      <c r="W301" s="45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41" t="s">
        <v>21</v>
      </c>
      <c r="B302" s="41" t="s">
        <v>33</v>
      </c>
      <c r="C302" s="41" t="s">
        <v>23</v>
      </c>
      <c r="D302" s="41" t="s">
        <v>39</v>
      </c>
      <c r="E302" s="41" t="s">
        <v>25</v>
      </c>
      <c r="F302" s="41" t="s">
        <v>25</v>
      </c>
      <c r="G302" s="41" t="s">
        <v>25</v>
      </c>
      <c r="H302" s="41" t="s">
        <v>25</v>
      </c>
      <c r="I302" s="60">
        <v>44562</v>
      </c>
      <c r="J302" s="61">
        <f>EFEITO!$J$302*EFEITO!$Y$302</f>
        <v>0</v>
      </c>
      <c r="K302" s="61">
        <f ca="1">EFEITO!$L$302*EFEITO!$Z$302</f>
        <v>87688.137769804613</v>
      </c>
      <c r="L302" s="61">
        <f>EFEITO!$N$302*EFEITO!$AA$302</f>
        <v>37384.56367498319</v>
      </c>
      <c r="M302" s="61">
        <f>$J$302-EFEITO!$K$302*EFEITO!$Y$302</f>
        <v>0</v>
      </c>
      <c r="N302" s="61">
        <f ca="1">$K$302-EFEITO!$M$302*EFEITO!$Z$302</f>
        <v>0</v>
      </c>
      <c r="O302" s="61">
        <f>$L$302-EFEITO!$O$302*EFEITO!$AA$302</f>
        <v>0</v>
      </c>
      <c r="P302" s="45"/>
      <c r="Q302" s="45"/>
      <c r="R302" s="45"/>
      <c r="S302" s="45"/>
      <c r="T302" s="45"/>
      <c r="U302" s="45"/>
      <c r="V302" s="45"/>
      <c r="W302" s="45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41" t="s">
        <v>28</v>
      </c>
      <c r="B303" s="41" t="s">
        <v>33</v>
      </c>
      <c r="C303" s="41" t="s">
        <v>23</v>
      </c>
      <c r="D303" s="41" t="s">
        <v>39</v>
      </c>
      <c r="E303" s="41" t="s">
        <v>25</v>
      </c>
      <c r="F303" s="41" t="s">
        <v>25</v>
      </c>
      <c r="G303" s="41" t="s">
        <v>25</v>
      </c>
      <c r="H303" s="41" t="s">
        <v>25</v>
      </c>
      <c r="I303" s="60">
        <v>44562</v>
      </c>
      <c r="J303" s="61">
        <f>EFEITO!$J$303*EFEITO!$Y$303</f>
        <v>0</v>
      </c>
      <c r="K303" s="61">
        <f ca="1">EFEITO!$L$303*EFEITO!$Z$303</f>
        <v>1146.0393332166386</v>
      </c>
      <c r="L303" s="61">
        <f>EFEITO!$N$303*EFEITO!$AA$303</f>
        <v>488.59722097355444</v>
      </c>
      <c r="M303" s="61">
        <f>$J$303-EFEITO!$K$303*EFEITO!$Y$303</f>
        <v>0</v>
      </c>
      <c r="N303" s="61">
        <f ca="1">$K$303-EFEITO!$M$303*EFEITO!$Z$303</f>
        <v>0</v>
      </c>
      <c r="O303" s="61">
        <f>$L$303-EFEITO!$O$303*EFEITO!$AA$303</f>
        <v>0</v>
      </c>
      <c r="P303" s="45"/>
      <c r="Q303" s="45"/>
      <c r="R303" s="45"/>
      <c r="S303" s="45"/>
      <c r="T303" s="45"/>
      <c r="U303" s="45"/>
      <c r="V303" s="45"/>
      <c r="W303" s="45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41" t="s">
        <v>21</v>
      </c>
      <c r="B304" s="41" t="s">
        <v>33</v>
      </c>
      <c r="C304" s="41" t="s">
        <v>23</v>
      </c>
      <c r="D304" s="41" t="s">
        <v>39</v>
      </c>
      <c r="E304" s="41" t="s">
        <v>25</v>
      </c>
      <c r="F304" s="41" t="s">
        <v>25</v>
      </c>
      <c r="G304" s="41" t="s">
        <v>25</v>
      </c>
      <c r="H304" s="41" t="s">
        <v>25</v>
      </c>
      <c r="I304" s="60">
        <v>44593</v>
      </c>
      <c r="J304" s="61">
        <f>EFEITO!$J$304*EFEITO!$Y$304</f>
        <v>0</v>
      </c>
      <c r="K304" s="61">
        <f ca="1">EFEITO!$L$304*EFEITO!$Z$304</f>
        <v>116415.28477756493</v>
      </c>
      <c r="L304" s="61">
        <f>EFEITO!$N$304*EFEITO!$AA$304</f>
        <v>49631.965476712794</v>
      </c>
      <c r="M304" s="61">
        <f>$J$304-EFEITO!$K$304*EFEITO!$Y$304</f>
        <v>0</v>
      </c>
      <c r="N304" s="61">
        <f ca="1">$K$304-EFEITO!$M$304*EFEITO!$Z$304</f>
        <v>0</v>
      </c>
      <c r="O304" s="61">
        <f>$L$304-EFEITO!$O$304*EFEITO!$AA$304</f>
        <v>0</v>
      </c>
      <c r="P304" s="45"/>
      <c r="Q304" s="45"/>
      <c r="R304" s="45"/>
      <c r="S304" s="45"/>
      <c r="T304" s="45"/>
      <c r="U304" s="45"/>
      <c r="V304" s="45"/>
      <c r="W304" s="45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41" t="s">
        <v>27</v>
      </c>
      <c r="B305" s="41" t="s">
        <v>33</v>
      </c>
      <c r="C305" s="41" t="s">
        <v>23</v>
      </c>
      <c r="D305" s="41" t="s">
        <v>39</v>
      </c>
      <c r="E305" s="41" t="s">
        <v>25</v>
      </c>
      <c r="F305" s="41" t="s">
        <v>25</v>
      </c>
      <c r="G305" s="41" t="s">
        <v>25</v>
      </c>
      <c r="H305" s="41" t="s">
        <v>25</v>
      </c>
      <c r="I305" s="60">
        <v>44593</v>
      </c>
      <c r="J305" s="61">
        <f>EFEITO!$J$305*EFEITO!$Y$305</f>
        <v>0</v>
      </c>
      <c r="K305" s="61">
        <f ca="1">EFEITO!$L$305*EFEITO!$Z$305</f>
        <v>-386.64266793039843</v>
      </c>
      <c r="L305" s="61">
        <f>EFEITO!$N$305*EFEITO!$AA$305</f>
        <v>-164.8394846365041</v>
      </c>
      <c r="M305" s="61">
        <f>$J$305-EFEITO!$K$305*EFEITO!$Y$305</f>
        <v>0</v>
      </c>
      <c r="N305" s="61">
        <f ca="1">$K$305-EFEITO!$M$305*EFEITO!$Z$305</f>
        <v>0</v>
      </c>
      <c r="O305" s="61">
        <f>$L$305-EFEITO!$O$305*EFEITO!$AA$305</f>
        <v>0</v>
      </c>
      <c r="P305" s="45"/>
      <c r="Q305" s="45"/>
      <c r="R305" s="45"/>
      <c r="S305" s="45"/>
      <c r="T305" s="45"/>
      <c r="U305" s="45"/>
      <c r="V305" s="45"/>
      <c r="W305" s="45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41" t="s">
        <v>28</v>
      </c>
      <c r="B306" s="41" t="s">
        <v>33</v>
      </c>
      <c r="C306" s="41" t="s">
        <v>23</v>
      </c>
      <c r="D306" s="41" t="s">
        <v>39</v>
      </c>
      <c r="E306" s="41" t="s">
        <v>25</v>
      </c>
      <c r="F306" s="41" t="s">
        <v>25</v>
      </c>
      <c r="G306" s="41" t="s">
        <v>25</v>
      </c>
      <c r="H306" s="41" t="s">
        <v>25</v>
      </c>
      <c r="I306" s="60">
        <v>44593</v>
      </c>
      <c r="J306" s="61">
        <f>EFEITO!$J$306*EFEITO!$Y$306</f>
        <v>0</v>
      </c>
      <c r="K306" s="61">
        <f ca="1">EFEITO!$L$306*EFEITO!$Z$306</f>
        <v>2893.3236958221473</v>
      </c>
      <c r="L306" s="61">
        <f>EFEITO!$N$306*EFEITO!$AA$306</f>
        <v>1233.5265258198651</v>
      </c>
      <c r="M306" s="61">
        <f>$J$306-EFEITO!$K$306*EFEITO!$Y$306</f>
        <v>0</v>
      </c>
      <c r="N306" s="61">
        <f ca="1">$K$306-EFEITO!$M$306*EFEITO!$Z$306</f>
        <v>0</v>
      </c>
      <c r="O306" s="61">
        <f>$L$306-EFEITO!$O$306*EFEITO!$AA$306</f>
        <v>0</v>
      </c>
      <c r="P306" s="45"/>
      <c r="Q306" s="45"/>
      <c r="R306" s="45"/>
      <c r="S306" s="45"/>
      <c r="T306" s="45"/>
      <c r="U306" s="45"/>
      <c r="V306" s="45"/>
      <c r="W306" s="45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41" t="s">
        <v>21</v>
      </c>
      <c r="B307" s="41" t="s">
        <v>33</v>
      </c>
      <c r="C307" s="41" t="s">
        <v>23</v>
      </c>
      <c r="D307" s="41" t="s">
        <v>39</v>
      </c>
      <c r="E307" s="41" t="s">
        <v>25</v>
      </c>
      <c r="F307" s="41" t="s">
        <v>25</v>
      </c>
      <c r="G307" s="41" t="s">
        <v>25</v>
      </c>
      <c r="H307" s="41" t="s">
        <v>25</v>
      </c>
      <c r="I307" s="60">
        <v>44621</v>
      </c>
      <c r="J307" s="61">
        <f>EFEITO!$J$307*EFEITO!$Y$307</f>
        <v>0</v>
      </c>
      <c r="K307" s="61">
        <f ca="1">EFEITO!$L$307*EFEITO!$Z$307</f>
        <v>94175.939014648291</v>
      </c>
      <c r="L307" s="61">
        <f>EFEITO!$N$307*EFEITO!$AA$307</f>
        <v>40150.543486131763</v>
      </c>
      <c r="M307" s="61">
        <f>$J$307-EFEITO!$K$307*EFEITO!$Y$307</f>
        <v>0</v>
      </c>
      <c r="N307" s="61">
        <f ca="1">$K$307-EFEITO!$M$307*EFEITO!$Z$307</f>
        <v>0</v>
      </c>
      <c r="O307" s="61">
        <f>$L$307-EFEITO!$O$307*EFEITO!$AA$307</f>
        <v>0</v>
      </c>
      <c r="P307" s="45"/>
      <c r="Q307" s="45"/>
      <c r="R307" s="45"/>
      <c r="S307" s="45"/>
      <c r="T307" s="45"/>
      <c r="U307" s="45"/>
      <c r="V307" s="45"/>
      <c r="W307" s="45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41" t="s">
        <v>28</v>
      </c>
      <c r="B308" s="41" t="s">
        <v>33</v>
      </c>
      <c r="C308" s="41" t="s">
        <v>23</v>
      </c>
      <c r="D308" s="41" t="s">
        <v>39</v>
      </c>
      <c r="E308" s="41" t="s">
        <v>25</v>
      </c>
      <c r="F308" s="41" t="s">
        <v>25</v>
      </c>
      <c r="G308" s="41" t="s">
        <v>25</v>
      </c>
      <c r="H308" s="41" t="s">
        <v>25</v>
      </c>
      <c r="I308" s="60">
        <v>44621</v>
      </c>
      <c r="J308" s="61">
        <f>EFEITO!$J$308*EFEITO!$Y$308</f>
        <v>0</v>
      </c>
      <c r="K308" s="61">
        <f ca="1">EFEITO!$L$308*EFEITO!$Z$308</f>
        <v>1755.7967736028174</v>
      </c>
      <c r="L308" s="61">
        <f>EFEITO!$N$308*EFEITO!$AA$308</f>
        <v>748.55844761351057</v>
      </c>
      <c r="M308" s="61">
        <f>$J$308-EFEITO!$K$308*EFEITO!$Y$308</f>
        <v>0</v>
      </c>
      <c r="N308" s="61">
        <f ca="1">$K$308-EFEITO!$M$308*EFEITO!$Z$308</f>
        <v>0</v>
      </c>
      <c r="O308" s="61">
        <f>$L$308-EFEITO!$O$308*EFEITO!$AA$308</f>
        <v>0</v>
      </c>
      <c r="P308" s="45"/>
      <c r="Q308" s="45"/>
      <c r="R308" s="45"/>
      <c r="S308" s="45"/>
      <c r="T308" s="45"/>
      <c r="U308" s="45"/>
      <c r="V308" s="45"/>
      <c r="W308" s="45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41" t="s">
        <v>21</v>
      </c>
      <c r="B309" s="41" t="s">
        <v>33</v>
      </c>
      <c r="C309" s="41" t="s">
        <v>23</v>
      </c>
      <c r="D309" s="41" t="s">
        <v>39</v>
      </c>
      <c r="E309" s="41" t="s">
        <v>25</v>
      </c>
      <c r="F309" s="41" t="s">
        <v>25</v>
      </c>
      <c r="G309" s="41" t="s">
        <v>25</v>
      </c>
      <c r="H309" s="41" t="s">
        <v>25</v>
      </c>
      <c r="I309" s="60">
        <v>44652</v>
      </c>
      <c r="J309" s="61">
        <f>EFEITO!$J$309*EFEITO!$Y$309</f>
        <v>0</v>
      </c>
      <c r="K309" s="61">
        <f ca="1">EFEITO!$L$309*EFEITO!$Z$309</f>
        <v>80408.234280579753</v>
      </c>
      <c r="L309" s="61">
        <f>EFEITO!$N$309*EFEITO!$AA$309</f>
        <v>34280.882578970959</v>
      </c>
      <c r="M309" s="61">
        <f>$J$309-EFEITO!$K$309*EFEITO!$Y$309</f>
        <v>0</v>
      </c>
      <c r="N309" s="61">
        <f ca="1">$K$309-EFEITO!$M$309*EFEITO!$Z$309</f>
        <v>0</v>
      </c>
      <c r="O309" s="61">
        <f>$L$309-EFEITO!$O$309*EFEITO!$AA$309</f>
        <v>0</v>
      </c>
      <c r="P309" s="45"/>
      <c r="Q309" s="45"/>
      <c r="R309" s="45"/>
      <c r="S309" s="45"/>
      <c r="T309" s="45"/>
      <c r="U309" s="45"/>
      <c r="V309" s="45"/>
      <c r="W309" s="45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41" t="s">
        <v>27</v>
      </c>
      <c r="B310" s="41" t="s">
        <v>33</v>
      </c>
      <c r="C310" s="41" t="s">
        <v>23</v>
      </c>
      <c r="D310" s="41" t="s">
        <v>39</v>
      </c>
      <c r="E310" s="41" t="s">
        <v>25</v>
      </c>
      <c r="F310" s="41" t="s">
        <v>25</v>
      </c>
      <c r="G310" s="41" t="s">
        <v>25</v>
      </c>
      <c r="H310" s="41" t="s">
        <v>25</v>
      </c>
      <c r="I310" s="60">
        <v>44652</v>
      </c>
      <c r="J310" s="61">
        <f>EFEITO!$J$310*EFEITO!$Y$310</f>
        <v>0</v>
      </c>
      <c r="K310" s="61">
        <f ca="1">EFEITO!$L$310*EFEITO!$Z$310</f>
        <v>-155.01548447730923</v>
      </c>
      <c r="L310" s="61">
        <f>EFEITO!$N$310*EFEITO!$AA$310</f>
        <v>-66.08859986585216</v>
      </c>
      <c r="M310" s="61">
        <f>$J$310-EFEITO!$K$310*EFEITO!$Y$310</f>
        <v>0</v>
      </c>
      <c r="N310" s="61">
        <f ca="1">$K$310-EFEITO!$M$310*EFEITO!$Z$310</f>
        <v>0</v>
      </c>
      <c r="O310" s="61">
        <f>$L$310-EFEITO!$O$310*EFEITO!$AA$310</f>
        <v>0</v>
      </c>
      <c r="P310" s="45"/>
      <c r="Q310" s="45"/>
      <c r="R310" s="45"/>
      <c r="S310" s="45"/>
      <c r="T310" s="45"/>
      <c r="U310" s="45"/>
      <c r="V310" s="45"/>
      <c r="W310" s="45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41" t="s">
        <v>28</v>
      </c>
      <c r="B311" s="41" t="s">
        <v>33</v>
      </c>
      <c r="C311" s="41" t="s">
        <v>23</v>
      </c>
      <c r="D311" s="41" t="s">
        <v>39</v>
      </c>
      <c r="E311" s="41" t="s">
        <v>25</v>
      </c>
      <c r="F311" s="41" t="s">
        <v>25</v>
      </c>
      <c r="G311" s="41" t="s">
        <v>25</v>
      </c>
      <c r="H311" s="41" t="s">
        <v>25</v>
      </c>
      <c r="I311" s="60">
        <v>44652</v>
      </c>
      <c r="J311" s="61">
        <f>EFEITO!$J$311*EFEITO!$Y$311</f>
        <v>0</v>
      </c>
      <c r="K311" s="61">
        <f ca="1">EFEITO!$L$311*EFEITO!$Z$311</f>
        <v>1055.9869852977395</v>
      </c>
      <c r="L311" s="61">
        <f>EFEITO!$N$311*EFEITO!$AA$311</f>
        <v>450.20471064686001</v>
      </c>
      <c r="M311" s="61">
        <f>$J$311-EFEITO!$K$311*EFEITO!$Y$311</f>
        <v>0</v>
      </c>
      <c r="N311" s="61">
        <f ca="1">$K$311-EFEITO!$M$311*EFEITO!$Z$311</f>
        <v>0</v>
      </c>
      <c r="O311" s="61">
        <f>$L$311-EFEITO!$O$311*EFEITO!$AA$311</f>
        <v>0</v>
      </c>
      <c r="P311" s="45"/>
      <c r="Q311" s="45"/>
      <c r="R311" s="45"/>
      <c r="S311" s="45"/>
      <c r="T311" s="45"/>
      <c r="U311" s="45"/>
      <c r="V311" s="45"/>
      <c r="W311" s="45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41" t="s">
        <v>21</v>
      </c>
      <c r="B312" s="41" t="s">
        <v>33</v>
      </c>
      <c r="C312" s="41" t="s">
        <v>23</v>
      </c>
      <c r="D312" s="41" t="s">
        <v>39</v>
      </c>
      <c r="E312" s="41" t="s">
        <v>25</v>
      </c>
      <c r="F312" s="41" t="s">
        <v>25</v>
      </c>
      <c r="G312" s="41" t="s">
        <v>25</v>
      </c>
      <c r="H312" s="41" t="s">
        <v>25</v>
      </c>
      <c r="I312" s="60">
        <v>44682</v>
      </c>
      <c r="J312" s="61">
        <f>EFEITO!$J$312*EFEITO!$Y$312</f>
        <v>0</v>
      </c>
      <c r="K312" s="61">
        <f ca="1">EFEITO!$L$312*EFEITO!$Z$312</f>
        <v>70153.91518024262</v>
      </c>
      <c r="L312" s="61">
        <f>EFEITO!$N$312*EFEITO!$AA$312</f>
        <v>29909.102597093435</v>
      </c>
      <c r="M312" s="61">
        <f>$J$312-EFEITO!$K$312*EFEITO!$Y$312</f>
        <v>0</v>
      </c>
      <c r="N312" s="61">
        <f ca="1">$K$312-EFEITO!$M$312*EFEITO!$Z$312</f>
        <v>0</v>
      </c>
      <c r="O312" s="61">
        <f>$L$312-EFEITO!$O$312*EFEITO!$AA$312</f>
        <v>0</v>
      </c>
      <c r="P312" s="45"/>
      <c r="Q312" s="45"/>
      <c r="R312" s="45"/>
      <c r="S312" s="45"/>
      <c r="T312" s="45"/>
      <c r="U312" s="45"/>
      <c r="V312" s="45"/>
      <c r="W312" s="45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41" t="s">
        <v>28</v>
      </c>
      <c r="B313" s="41" t="s">
        <v>33</v>
      </c>
      <c r="C313" s="41" t="s">
        <v>23</v>
      </c>
      <c r="D313" s="41" t="s">
        <v>39</v>
      </c>
      <c r="E313" s="41" t="s">
        <v>25</v>
      </c>
      <c r="F313" s="41" t="s">
        <v>25</v>
      </c>
      <c r="G313" s="41" t="s">
        <v>25</v>
      </c>
      <c r="H313" s="41" t="s">
        <v>25</v>
      </c>
      <c r="I313" s="60">
        <v>44682</v>
      </c>
      <c r="J313" s="61">
        <f>EFEITO!$J$313*EFEITO!$Y$313</f>
        <v>0</v>
      </c>
      <c r="K313" s="61">
        <f ca="1">EFEITO!$L$313*EFEITO!$Z$313</f>
        <v>578.39592618556708</v>
      </c>
      <c r="L313" s="61">
        <f>EFEITO!$N$313*EFEITO!$AA$313</f>
        <v>246.5907006555351</v>
      </c>
      <c r="M313" s="61">
        <f>$J$313-EFEITO!$K$313*EFEITO!$Y$313</f>
        <v>0</v>
      </c>
      <c r="N313" s="61">
        <f ca="1">$K$313-EFEITO!$M$313*EFEITO!$Z$313</f>
        <v>0</v>
      </c>
      <c r="O313" s="61">
        <f>$L$313-EFEITO!$O$313*EFEITO!$AA$313</f>
        <v>0</v>
      </c>
      <c r="P313" s="45"/>
      <c r="Q313" s="45"/>
      <c r="R313" s="45"/>
      <c r="S313" s="45"/>
      <c r="T313" s="45"/>
      <c r="U313" s="45"/>
      <c r="V313" s="45"/>
      <c r="W313" s="45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41" t="s">
        <v>21</v>
      </c>
      <c r="B314" s="41" t="s">
        <v>33</v>
      </c>
      <c r="C314" s="41" t="s">
        <v>23</v>
      </c>
      <c r="D314" s="41" t="s">
        <v>39</v>
      </c>
      <c r="E314" s="41" t="s">
        <v>25</v>
      </c>
      <c r="F314" s="41" t="s">
        <v>25</v>
      </c>
      <c r="G314" s="41" t="s">
        <v>25</v>
      </c>
      <c r="H314" s="41" t="s">
        <v>25</v>
      </c>
      <c r="I314" s="60">
        <v>44713</v>
      </c>
      <c r="J314" s="61">
        <f>EFEITO!$J$314*EFEITO!$Y$314</f>
        <v>0</v>
      </c>
      <c r="K314" s="61">
        <f ca="1">EFEITO!$L$314*EFEITO!$Z$314</f>
        <v>74041.39887622415</v>
      </c>
      <c r="L314" s="61">
        <f>EFEITO!$N$314*EFEITO!$AA$314</f>
        <v>31566.474796619441</v>
      </c>
      <c r="M314" s="61">
        <f>$J$314-EFEITO!$K$314*EFEITO!$Y$314</f>
        <v>0</v>
      </c>
      <c r="N314" s="61">
        <f ca="1">$K$314-EFEITO!$M$314*EFEITO!$Z$314</f>
        <v>0</v>
      </c>
      <c r="O314" s="61">
        <f>$L$314-EFEITO!$O$314*EFEITO!$AA$314</f>
        <v>0</v>
      </c>
      <c r="P314" s="45"/>
      <c r="Q314" s="45"/>
      <c r="R314" s="45"/>
      <c r="S314" s="45"/>
      <c r="T314" s="45"/>
      <c r="U314" s="45"/>
      <c r="V314" s="45"/>
      <c r="W314" s="45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41" t="s">
        <v>28</v>
      </c>
      <c r="B315" s="41" t="s">
        <v>33</v>
      </c>
      <c r="C315" s="41" t="s">
        <v>23</v>
      </c>
      <c r="D315" s="41" t="s">
        <v>39</v>
      </c>
      <c r="E315" s="41" t="s">
        <v>25</v>
      </c>
      <c r="F315" s="41" t="s">
        <v>25</v>
      </c>
      <c r="G315" s="41" t="s">
        <v>25</v>
      </c>
      <c r="H315" s="41" t="s">
        <v>25</v>
      </c>
      <c r="I315" s="60">
        <v>44713</v>
      </c>
      <c r="J315" s="61">
        <f>EFEITO!$J$315*EFEITO!$Y$315</f>
        <v>0</v>
      </c>
      <c r="K315" s="61">
        <f ca="1">EFEITO!$L$315*EFEITO!$Z$315</f>
        <v>732.96338903143896</v>
      </c>
      <c r="L315" s="61">
        <f>EFEITO!$N$315*EFEITO!$AA$315</f>
        <v>312.4882930073241</v>
      </c>
      <c r="M315" s="61">
        <f>$J$315-EFEITO!$K$315*EFEITO!$Y$315</f>
        <v>0</v>
      </c>
      <c r="N315" s="61">
        <f ca="1">$K$315-EFEITO!$M$315*EFEITO!$Z$315</f>
        <v>0</v>
      </c>
      <c r="O315" s="61">
        <f>$L$315-EFEITO!$O$315*EFEITO!$AA$315</f>
        <v>0</v>
      </c>
      <c r="P315" s="45"/>
      <c r="Q315" s="45"/>
      <c r="R315" s="45"/>
      <c r="S315" s="45"/>
      <c r="T315" s="45"/>
      <c r="U315" s="45"/>
      <c r="V315" s="45"/>
      <c r="W315" s="45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41" t="s">
        <v>21</v>
      </c>
      <c r="B316" s="41" t="s">
        <v>33</v>
      </c>
      <c r="C316" s="41" t="s">
        <v>23</v>
      </c>
      <c r="D316" s="41" t="s">
        <v>39</v>
      </c>
      <c r="E316" s="41" t="s">
        <v>25</v>
      </c>
      <c r="F316" s="41" t="s">
        <v>25</v>
      </c>
      <c r="G316" s="41" t="s">
        <v>25</v>
      </c>
      <c r="H316" s="41" t="s">
        <v>25</v>
      </c>
      <c r="I316" s="60">
        <v>44743</v>
      </c>
      <c r="J316" s="61">
        <f>EFEITO!$J$316*EFEITO!$Y$316</f>
        <v>0</v>
      </c>
      <c r="K316" s="61">
        <f ca="1">EFEITO!$L$316*EFEITO!$Z$316</f>
        <v>71780.681723991482</v>
      </c>
      <c r="L316" s="61">
        <f>EFEITO!$N$316*EFEITO!$AA$316</f>
        <v>30602.650880656754</v>
      </c>
      <c r="M316" s="61">
        <f>$J$316-EFEITO!$K$316*EFEITO!$Y$316</f>
        <v>0</v>
      </c>
      <c r="N316" s="61">
        <f ca="1">$K$316-EFEITO!$M$316*EFEITO!$Z$316</f>
        <v>0</v>
      </c>
      <c r="O316" s="61">
        <f>$L$316-EFEITO!$O$316*EFEITO!$AA$316</f>
        <v>0</v>
      </c>
      <c r="P316" s="45"/>
      <c r="Q316" s="45"/>
      <c r="R316" s="45"/>
      <c r="S316" s="45"/>
      <c r="T316" s="45"/>
      <c r="U316" s="45"/>
      <c r="V316" s="45"/>
      <c r="W316" s="45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41" t="s">
        <v>28</v>
      </c>
      <c r="B317" s="41" t="s">
        <v>33</v>
      </c>
      <c r="C317" s="41" t="s">
        <v>23</v>
      </c>
      <c r="D317" s="41" t="s">
        <v>39</v>
      </c>
      <c r="E317" s="41" t="s">
        <v>25</v>
      </c>
      <c r="F317" s="41" t="s">
        <v>25</v>
      </c>
      <c r="G317" s="41" t="s">
        <v>25</v>
      </c>
      <c r="H317" s="41" t="s">
        <v>25</v>
      </c>
      <c r="I317" s="60">
        <v>44743</v>
      </c>
      <c r="J317" s="61">
        <f>EFEITO!$J$317*EFEITO!$Y$317</f>
        <v>0</v>
      </c>
      <c r="K317" s="61">
        <f ca="1">EFEITO!$L$317*EFEITO!$Z$317</f>
        <v>1369.1541056724191</v>
      </c>
      <c r="L317" s="61">
        <f>EFEITO!$N$317*EFEITO!$AA$317</f>
        <v>583.71896297700641</v>
      </c>
      <c r="M317" s="61">
        <f>$J$317-EFEITO!$K$317*EFEITO!$Y$317</f>
        <v>0</v>
      </c>
      <c r="N317" s="61">
        <f ca="1">$K$317-EFEITO!$M$317*EFEITO!$Z$317</f>
        <v>0</v>
      </c>
      <c r="O317" s="61">
        <f>$L$317-EFEITO!$O$317*EFEITO!$AA$317</f>
        <v>0</v>
      </c>
      <c r="P317" s="45"/>
      <c r="Q317" s="45"/>
      <c r="R317" s="45"/>
      <c r="S317" s="45"/>
      <c r="T317" s="45"/>
      <c r="U317" s="45"/>
      <c r="V317" s="45"/>
      <c r="W317" s="45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41" t="s">
        <v>55</v>
      </c>
      <c r="B318" s="41" t="s">
        <v>33</v>
      </c>
      <c r="C318" s="41" t="s">
        <v>23</v>
      </c>
      <c r="D318" s="41" t="s">
        <v>39</v>
      </c>
      <c r="E318" s="41" t="s">
        <v>25</v>
      </c>
      <c r="F318" s="41" t="s">
        <v>25</v>
      </c>
      <c r="G318" s="41" t="s">
        <v>25</v>
      </c>
      <c r="H318" s="41" t="s">
        <v>25</v>
      </c>
      <c r="I318" s="60">
        <v>44774</v>
      </c>
      <c r="J318" s="61">
        <f>EFEITO!$J$318*EFEITO!$Y$318</f>
        <v>0</v>
      </c>
      <c r="K318" s="61">
        <f ca="1">EFEITO!$L$318*EFEITO!$Z$318</f>
        <v>71780.681723991482</v>
      </c>
      <c r="L318" s="61">
        <f>EFEITO!$N$318*EFEITO!$AA$318</f>
        <v>30602.650880656754</v>
      </c>
      <c r="M318" s="61">
        <f>$J$318-EFEITO!$K$318*EFEITO!$Y$318</f>
        <v>0</v>
      </c>
      <c r="N318" s="61">
        <f ca="1">$K$318-EFEITO!$M$318*EFEITO!$Z$318</f>
        <v>0</v>
      </c>
      <c r="O318" s="61">
        <f>$L$318-EFEITO!$O$318*EFEITO!$AA$318</f>
        <v>0</v>
      </c>
      <c r="P318" s="45"/>
      <c r="Q318" s="45"/>
      <c r="R318" s="45"/>
      <c r="S318" s="45"/>
      <c r="T318" s="45"/>
      <c r="U318" s="45"/>
      <c r="V318" s="45"/>
      <c r="W318" s="45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41" t="s">
        <v>55</v>
      </c>
      <c r="B319" s="41" t="s">
        <v>33</v>
      </c>
      <c r="C319" s="41" t="s">
        <v>23</v>
      </c>
      <c r="D319" s="41" t="s">
        <v>39</v>
      </c>
      <c r="E319" s="41" t="s">
        <v>25</v>
      </c>
      <c r="F319" s="41" t="s">
        <v>25</v>
      </c>
      <c r="G319" s="41" t="s">
        <v>25</v>
      </c>
      <c r="H319" s="41" t="s">
        <v>25</v>
      </c>
      <c r="I319" s="60">
        <v>44774</v>
      </c>
      <c r="J319" s="61">
        <f>EFEITO!$J$319*EFEITO!$Y$319</f>
        <v>0</v>
      </c>
      <c r="K319" s="61">
        <f ca="1">EFEITO!$L$319*EFEITO!$Z$319</f>
        <v>1369.1541056724191</v>
      </c>
      <c r="L319" s="61">
        <f>EFEITO!$N$319*EFEITO!$AA$319</f>
        <v>583.71896297700641</v>
      </c>
      <c r="M319" s="61">
        <f>$J$319-EFEITO!$K$319*EFEITO!$Y$319</f>
        <v>0</v>
      </c>
      <c r="N319" s="61">
        <f ca="1">$K$319-EFEITO!$M$319*EFEITO!$Z$319</f>
        <v>0</v>
      </c>
      <c r="O319" s="61">
        <f>$L$319-EFEITO!$O$319*EFEITO!$AA$319</f>
        <v>0</v>
      </c>
      <c r="P319" s="45"/>
      <c r="Q319" s="45"/>
      <c r="R319" s="45"/>
      <c r="S319" s="45"/>
      <c r="T319" s="45"/>
      <c r="U319" s="45"/>
      <c r="V319" s="45"/>
      <c r="W319" s="45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41" t="s">
        <v>21</v>
      </c>
      <c r="B320" s="41" t="s">
        <v>33</v>
      </c>
      <c r="C320" s="41" t="s">
        <v>23</v>
      </c>
      <c r="D320" s="41" t="s">
        <v>50</v>
      </c>
      <c r="E320" s="41" t="s">
        <v>25</v>
      </c>
      <c r="F320" s="41" t="s">
        <v>25</v>
      </c>
      <c r="G320" s="41" t="s">
        <v>25</v>
      </c>
      <c r="H320" s="41" t="s">
        <v>25</v>
      </c>
      <c r="I320" s="60">
        <v>44440</v>
      </c>
      <c r="J320" s="61">
        <f>EFEITO!$J$320*EFEITO!$Y$320</f>
        <v>0</v>
      </c>
      <c r="K320" s="61">
        <f ca="1">EFEITO!$L$320*EFEITO!$Z$320</f>
        <v>262.98869765370091</v>
      </c>
      <c r="L320" s="61">
        <f>EFEITO!$N$320*EFEITO!$AA$320</f>
        <v>112.12141075507289</v>
      </c>
      <c r="M320" s="61">
        <f>$J$320-EFEITO!$K$320*EFEITO!$Y$320</f>
        <v>0</v>
      </c>
      <c r="N320" s="61">
        <f ca="1">$K$320-EFEITO!$M$320*EFEITO!$Z$320</f>
        <v>0</v>
      </c>
      <c r="O320" s="61">
        <f>$L$320-EFEITO!$O$320*EFEITO!$AA$320</f>
        <v>0</v>
      </c>
      <c r="P320" s="45"/>
      <c r="Q320" s="45"/>
      <c r="R320" s="45"/>
      <c r="S320" s="45"/>
      <c r="T320" s="45"/>
      <c r="U320" s="45"/>
      <c r="V320" s="45"/>
      <c r="W320" s="45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41" t="s">
        <v>21</v>
      </c>
      <c r="B321" s="41" t="s">
        <v>33</v>
      </c>
      <c r="C321" s="41" t="s">
        <v>23</v>
      </c>
      <c r="D321" s="41" t="s">
        <v>50</v>
      </c>
      <c r="E321" s="41" t="s">
        <v>25</v>
      </c>
      <c r="F321" s="41" t="s">
        <v>25</v>
      </c>
      <c r="G321" s="41" t="s">
        <v>25</v>
      </c>
      <c r="H321" s="41" t="s">
        <v>25</v>
      </c>
      <c r="I321" s="60">
        <v>44470</v>
      </c>
      <c r="J321" s="61">
        <f>EFEITO!$J$321*EFEITO!$Y$321</f>
        <v>0</v>
      </c>
      <c r="K321" s="61">
        <f ca="1">EFEITO!$L$321*EFEITO!$Z$321</f>
        <v>688.60924751914524</v>
      </c>
      <c r="L321" s="61">
        <f>EFEITO!$N$321*EFEITO!$AA$321</f>
        <v>293.57854911507161</v>
      </c>
      <c r="M321" s="61">
        <f>$J$321-EFEITO!$K$321*EFEITO!$Y$321</f>
        <v>0</v>
      </c>
      <c r="N321" s="61">
        <f ca="1">$K$321-EFEITO!$M$321*EFEITO!$Z$321</f>
        <v>0</v>
      </c>
      <c r="O321" s="61">
        <f>$L$321-EFEITO!$O$321*EFEITO!$AA$321</f>
        <v>0</v>
      </c>
      <c r="P321" s="45"/>
      <c r="Q321" s="45"/>
      <c r="R321" s="45"/>
      <c r="S321" s="45"/>
      <c r="T321" s="45"/>
      <c r="U321" s="45"/>
      <c r="V321" s="45"/>
      <c r="W321" s="45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41" t="s">
        <v>21</v>
      </c>
      <c r="B322" s="41" t="s">
        <v>33</v>
      </c>
      <c r="C322" s="41" t="s">
        <v>23</v>
      </c>
      <c r="D322" s="41" t="s">
        <v>50</v>
      </c>
      <c r="E322" s="41" t="s">
        <v>25</v>
      </c>
      <c r="F322" s="41" t="s">
        <v>25</v>
      </c>
      <c r="G322" s="41" t="s">
        <v>25</v>
      </c>
      <c r="H322" s="41" t="s">
        <v>25</v>
      </c>
      <c r="I322" s="60">
        <v>44501</v>
      </c>
      <c r="J322" s="61">
        <f>EFEITO!$J$322*EFEITO!$Y$322</f>
        <v>0</v>
      </c>
      <c r="K322" s="61">
        <f ca="1">EFEITO!$L$322*EFEITO!$Z$322</f>
        <v>623.64611096073531</v>
      </c>
      <c r="L322" s="61">
        <f>EFEITO!$N$322*EFEITO!$AA$322</f>
        <v>265.88245957591391</v>
      </c>
      <c r="M322" s="61">
        <f>$J$322-EFEITO!$K$322*EFEITO!$Y$322</f>
        <v>0</v>
      </c>
      <c r="N322" s="61">
        <f ca="1">$K$322-EFEITO!$M$322*EFEITO!$Z$322</f>
        <v>0</v>
      </c>
      <c r="O322" s="61">
        <f>$L$322-EFEITO!$O$322*EFEITO!$AA$322</f>
        <v>0</v>
      </c>
      <c r="P322" s="45"/>
      <c r="Q322" s="45"/>
      <c r="R322" s="45"/>
      <c r="S322" s="45"/>
      <c r="T322" s="45"/>
      <c r="U322" s="45"/>
      <c r="V322" s="45"/>
      <c r="W322" s="45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41" t="s">
        <v>21</v>
      </c>
      <c r="B323" s="41" t="s">
        <v>33</v>
      </c>
      <c r="C323" s="41" t="s">
        <v>23</v>
      </c>
      <c r="D323" s="41" t="s">
        <v>50</v>
      </c>
      <c r="E323" s="41" t="s">
        <v>25</v>
      </c>
      <c r="F323" s="41" t="s">
        <v>25</v>
      </c>
      <c r="G323" s="41" t="s">
        <v>25</v>
      </c>
      <c r="H323" s="41" t="s">
        <v>25</v>
      </c>
      <c r="I323" s="60">
        <v>44531</v>
      </c>
      <c r="J323" s="61">
        <f>EFEITO!$J$323*EFEITO!$Y$323</f>
        <v>0</v>
      </c>
      <c r="K323" s="61">
        <f ca="1">EFEITO!$L$323*EFEITO!$Z$323</f>
        <v>1566.7316451362726</v>
      </c>
      <c r="L323" s="61">
        <f>EFEITO!$N$323*EFEITO!$AA$323</f>
        <v>667.9532766788584</v>
      </c>
      <c r="M323" s="61">
        <f>$J$323-EFEITO!$K$323*EFEITO!$Y$323</f>
        <v>0</v>
      </c>
      <c r="N323" s="61">
        <f ca="1">$K$323-EFEITO!$M$323*EFEITO!$Z$323</f>
        <v>0</v>
      </c>
      <c r="O323" s="61">
        <f>$L$323-EFEITO!$O$323*EFEITO!$AA$323</f>
        <v>0</v>
      </c>
      <c r="P323" s="45"/>
      <c r="Q323" s="45"/>
      <c r="R323" s="45"/>
      <c r="S323" s="45"/>
      <c r="T323" s="45"/>
      <c r="U323" s="45"/>
      <c r="V323" s="45"/>
      <c r="W323" s="45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41" t="s">
        <v>21</v>
      </c>
      <c r="B324" s="41" t="s">
        <v>33</v>
      </c>
      <c r="C324" s="41" t="s">
        <v>23</v>
      </c>
      <c r="D324" s="41" t="s">
        <v>50</v>
      </c>
      <c r="E324" s="41" t="s">
        <v>25</v>
      </c>
      <c r="F324" s="41" t="s">
        <v>25</v>
      </c>
      <c r="G324" s="41" t="s">
        <v>25</v>
      </c>
      <c r="H324" s="41" t="s">
        <v>25</v>
      </c>
      <c r="I324" s="60">
        <v>44562</v>
      </c>
      <c r="J324" s="61">
        <f>EFEITO!$J$324*EFEITO!$Y$324</f>
        <v>0</v>
      </c>
      <c r="K324" s="61">
        <f ca="1">EFEITO!$L$324*EFEITO!$Z$324</f>
        <v>1263.4210006532139</v>
      </c>
      <c r="L324" s="61">
        <f>EFEITO!$N$324*EFEITO!$AA$324</f>
        <v>538.64118965810144</v>
      </c>
      <c r="M324" s="61">
        <f>$J$324-EFEITO!$K$324*EFEITO!$Y$324</f>
        <v>0</v>
      </c>
      <c r="N324" s="61">
        <f ca="1">$K$324-EFEITO!$M$324*EFEITO!$Z$324</f>
        <v>0</v>
      </c>
      <c r="O324" s="61">
        <f>$L$324-EFEITO!$O$324*EFEITO!$AA$324</f>
        <v>0</v>
      </c>
      <c r="P324" s="45"/>
      <c r="Q324" s="45"/>
      <c r="R324" s="45"/>
      <c r="S324" s="45"/>
      <c r="T324" s="45"/>
      <c r="U324" s="45"/>
      <c r="V324" s="45"/>
      <c r="W324" s="45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41" t="s">
        <v>21</v>
      </c>
      <c r="B325" s="41" t="s">
        <v>33</v>
      </c>
      <c r="C325" s="41" t="s">
        <v>23</v>
      </c>
      <c r="D325" s="41" t="s">
        <v>50</v>
      </c>
      <c r="E325" s="41" t="s">
        <v>25</v>
      </c>
      <c r="F325" s="41" t="s">
        <v>25</v>
      </c>
      <c r="G325" s="41" t="s">
        <v>25</v>
      </c>
      <c r="H325" s="41" t="s">
        <v>25</v>
      </c>
      <c r="I325" s="60">
        <v>44593</v>
      </c>
      <c r="J325" s="61">
        <f>EFEITO!$J$325*EFEITO!$Y$325</f>
        <v>0</v>
      </c>
      <c r="K325" s="61">
        <f ca="1">EFEITO!$L$325*EFEITO!$Z$325</f>
        <v>1738.3239299767624</v>
      </c>
      <c r="L325" s="61">
        <f>EFEITO!$N$325*EFEITO!$AA$325</f>
        <v>741.10915456504733</v>
      </c>
      <c r="M325" s="61">
        <f>$J$325-EFEITO!$K$325*EFEITO!$Y$325</f>
        <v>0</v>
      </c>
      <c r="N325" s="61">
        <f ca="1">$K$325-EFEITO!$M$325*EFEITO!$Z$325</f>
        <v>0</v>
      </c>
      <c r="O325" s="61">
        <f>$L$325-EFEITO!$O$325*EFEITO!$AA$325</f>
        <v>0</v>
      </c>
      <c r="P325" s="45"/>
      <c r="Q325" s="45"/>
      <c r="R325" s="45"/>
      <c r="S325" s="45"/>
      <c r="T325" s="45"/>
      <c r="U325" s="45"/>
      <c r="V325" s="45"/>
      <c r="W325" s="45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41" t="s">
        <v>21</v>
      </c>
      <c r="B326" s="41" t="s">
        <v>33</v>
      </c>
      <c r="C326" s="41" t="s">
        <v>23</v>
      </c>
      <c r="D326" s="41" t="s">
        <v>50</v>
      </c>
      <c r="E326" s="41" t="s">
        <v>25</v>
      </c>
      <c r="F326" s="41" t="s">
        <v>25</v>
      </c>
      <c r="G326" s="41" t="s">
        <v>25</v>
      </c>
      <c r="H326" s="41" t="s">
        <v>25</v>
      </c>
      <c r="I326" s="60">
        <v>44621</v>
      </c>
      <c r="J326" s="61">
        <f>EFEITO!$J$326*EFEITO!$Y$326</f>
        <v>0</v>
      </c>
      <c r="K326" s="61">
        <f ca="1">EFEITO!$L$326*EFEITO!$Z$326</f>
        <v>1190.3934747289325</v>
      </c>
      <c r="L326" s="61">
        <f>EFEITO!$N$326*EFEITO!$AA$326</f>
        <v>507.50696486580694</v>
      </c>
      <c r="M326" s="61">
        <f>$J$326-EFEITO!$K$326*EFEITO!$Y$326</f>
        <v>0</v>
      </c>
      <c r="N326" s="61">
        <f ca="1">$K$326-EFEITO!$M$326*EFEITO!$Z$326</f>
        <v>0</v>
      </c>
      <c r="O326" s="61">
        <f>$L$326-EFEITO!$O$326*EFEITO!$AA$326</f>
        <v>0</v>
      </c>
      <c r="P326" s="45"/>
      <c r="Q326" s="45"/>
      <c r="R326" s="45"/>
      <c r="S326" s="45"/>
      <c r="T326" s="45"/>
      <c r="U326" s="45"/>
      <c r="V326" s="45"/>
      <c r="W326" s="45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41" t="s">
        <v>21</v>
      </c>
      <c r="B327" s="41" t="s">
        <v>33</v>
      </c>
      <c r="C327" s="41" t="s">
        <v>23</v>
      </c>
      <c r="D327" s="41" t="s">
        <v>50</v>
      </c>
      <c r="E327" s="41" t="s">
        <v>25</v>
      </c>
      <c r="F327" s="41" t="s">
        <v>25</v>
      </c>
      <c r="G327" s="41" t="s">
        <v>25</v>
      </c>
      <c r="H327" s="41" t="s">
        <v>25</v>
      </c>
      <c r="I327" s="60">
        <v>44652</v>
      </c>
      <c r="J327" s="61">
        <f>EFEITO!$J$327*EFEITO!$Y$327</f>
        <v>0</v>
      </c>
      <c r="K327" s="61">
        <f ca="1">EFEITO!$L$327*EFEITO!$Z$327</f>
        <v>1107.9574945444674</v>
      </c>
      <c r="L327" s="61">
        <f>EFEITO!$N$327*EFEITO!$AA$327</f>
        <v>472.36158227818612</v>
      </c>
      <c r="M327" s="61">
        <f>$J$327-EFEITO!$K$327*EFEITO!$Y$327</f>
        <v>0</v>
      </c>
      <c r="N327" s="61">
        <f ca="1">$K$327-EFEITO!$M$327*EFEITO!$Z$327</f>
        <v>0</v>
      </c>
      <c r="O327" s="61">
        <f>$L$327-EFEITO!$O$327*EFEITO!$AA$327</f>
        <v>0</v>
      </c>
      <c r="P327" s="45"/>
      <c r="Q327" s="45"/>
      <c r="R327" s="45"/>
      <c r="S327" s="45"/>
      <c r="T327" s="45"/>
      <c r="U327" s="45"/>
      <c r="V327" s="45"/>
      <c r="W327" s="45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41" t="s">
        <v>21</v>
      </c>
      <c r="B328" s="41" t="s">
        <v>33</v>
      </c>
      <c r="C328" s="41" t="s">
        <v>23</v>
      </c>
      <c r="D328" s="41" t="s">
        <v>50</v>
      </c>
      <c r="E328" s="41" t="s">
        <v>25</v>
      </c>
      <c r="F328" s="41" t="s">
        <v>25</v>
      </c>
      <c r="G328" s="41" t="s">
        <v>25</v>
      </c>
      <c r="H328" s="41" t="s">
        <v>25</v>
      </c>
      <c r="I328" s="60">
        <v>44682</v>
      </c>
      <c r="J328" s="61">
        <f>EFEITO!$J$328*EFEITO!$Y$328</f>
        <v>0</v>
      </c>
      <c r="K328" s="61">
        <f ca="1">EFEITO!$L$328*EFEITO!$Z$328</f>
        <v>899.17941429468101</v>
      </c>
      <c r="L328" s="61">
        <f>EFEITO!$N$328*EFEITO!$AA$328</f>
        <v>383.35208072475524</v>
      </c>
      <c r="M328" s="61">
        <f>$J$328-EFEITO!$K$328*EFEITO!$Y$328</f>
        <v>0</v>
      </c>
      <c r="N328" s="61">
        <f ca="1">$K$328-EFEITO!$M$328*EFEITO!$Z$328</f>
        <v>0</v>
      </c>
      <c r="O328" s="61">
        <f>$L$328-EFEITO!$O$328*EFEITO!$AA$328</f>
        <v>0</v>
      </c>
      <c r="P328" s="45"/>
      <c r="Q328" s="45"/>
      <c r="R328" s="45"/>
      <c r="S328" s="45"/>
      <c r="T328" s="45"/>
      <c r="U328" s="45"/>
      <c r="V328" s="45"/>
      <c r="W328" s="45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41" t="s">
        <v>21</v>
      </c>
      <c r="B329" s="41" t="s">
        <v>33</v>
      </c>
      <c r="C329" s="41" t="s">
        <v>23</v>
      </c>
      <c r="D329" s="41" t="s">
        <v>50</v>
      </c>
      <c r="E329" s="41" t="s">
        <v>25</v>
      </c>
      <c r="F329" s="41" t="s">
        <v>25</v>
      </c>
      <c r="G329" s="41" t="s">
        <v>25</v>
      </c>
      <c r="H329" s="41" t="s">
        <v>25</v>
      </c>
      <c r="I329" s="60">
        <v>44713</v>
      </c>
      <c r="J329" s="61">
        <f>EFEITO!$J$329*EFEITO!$Y$329</f>
        <v>0</v>
      </c>
      <c r="K329" s="61">
        <f ca="1">EFEITO!$L$329*EFEITO!$Z$329</f>
        <v>907.24380366055254</v>
      </c>
      <c r="L329" s="61">
        <f>EFEITO!$N$329*EFEITO!$AA$329</f>
        <v>386.79021597789199</v>
      </c>
      <c r="M329" s="61">
        <f>$J$329-EFEITO!$K$329*EFEITO!$Y$329</f>
        <v>0</v>
      </c>
      <c r="N329" s="61">
        <f ca="1">$K$329-EFEITO!$M$329*EFEITO!$Z$329</f>
        <v>0</v>
      </c>
      <c r="O329" s="61">
        <f>$L$329-EFEITO!$O$329*EFEITO!$AA$329</f>
        <v>0</v>
      </c>
      <c r="P329" s="45"/>
      <c r="Q329" s="45"/>
      <c r="R329" s="45"/>
      <c r="S329" s="45"/>
      <c r="T329" s="45"/>
      <c r="U329" s="45"/>
      <c r="V329" s="45"/>
      <c r="W329" s="45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41" t="s">
        <v>21</v>
      </c>
      <c r="B330" s="41" t="s">
        <v>33</v>
      </c>
      <c r="C330" s="41" t="s">
        <v>23</v>
      </c>
      <c r="D330" s="41" t="s">
        <v>50</v>
      </c>
      <c r="E330" s="41" t="s">
        <v>25</v>
      </c>
      <c r="F330" s="41" t="s">
        <v>25</v>
      </c>
      <c r="G330" s="41" t="s">
        <v>25</v>
      </c>
      <c r="H330" s="41" t="s">
        <v>25</v>
      </c>
      <c r="I330" s="60">
        <v>44743</v>
      </c>
      <c r="J330" s="61">
        <f>EFEITO!$J$330*EFEITO!$Y$330</f>
        <v>0</v>
      </c>
      <c r="K330" s="61">
        <f ca="1">EFEITO!$L$330*EFEITO!$Z$330</f>
        <v>844.07275362789187</v>
      </c>
      <c r="L330" s="61">
        <f>EFEITO!$N$330*EFEITO!$AA$330</f>
        <v>359.85815649498693</v>
      </c>
      <c r="M330" s="61">
        <f>$J$330-EFEITO!$K$330*EFEITO!$Y$330</f>
        <v>0</v>
      </c>
      <c r="N330" s="61">
        <f ca="1">$K$330-EFEITO!$M$330*EFEITO!$Z$330</f>
        <v>0</v>
      </c>
      <c r="O330" s="61">
        <f>$L$330-EFEITO!$O$330*EFEITO!$AA$330</f>
        <v>0</v>
      </c>
      <c r="P330" s="45"/>
      <c r="Q330" s="45"/>
      <c r="R330" s="45"/>
      <c r="S330" s="45"/>
      <c r="T330" s="45"/>
      <c r="U330" s="45"/>
      <c r="V330" s="45"/>
      <c r="W330" s="45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41" t="s">
        <v>55</v>
      </c>
      <c r="B331" s="41" t="s">
        <v>33</v>
      </c>
      <c r="C331" s="41" t="s">
        <v>23</v>
      </c>
      <c r="D331" s="41" t="s">
        <v>50</v>
      </c>
      <c r="E331" s="41" t="s">
        <v>25</v>
      </c>
      <c r="F331" s="41" t="s">
        <v>25</v>
      </c>
      <c r="G331" s="41" t="s">
        <v>25</v>
      </c>
      <c r="H331" s="41" t="s">
        <v>25</v>
      </c>
      <c r="I331" s="60">
        <v>44774</v>
      </c>
      <c r="J331" s="61">
        <f>EFEITO!$J$331*EFEITO!$Y$331</f>
        <v>0</v>
      </c>
      <c r="K331" s="61">
        <f ca="1">EFEITO!$L$331*EFEITO!$Z$331</f>
        <v>844.07275362789187</v>
      </c>
      <c r="L331" s="61">
        <f>EFEITO!$N$331*EFEITO!$AA$331</f>
        <v>359.85815649498693</v>
      </c>
      <c r="M331" s="61">
        <f>$J$331-EFEITO!$K$331*EFEITO!$Y$331</f>
        <v>0</v>
      </c>
      <c r="N331" s="61">
        <f ca="1">$K$331-EFEITO!$M$331*EFEITO!$Z$331</f>
        <v>0</v>
      </c>
      <c r="O331" s="61">
        <f>$L$331-EFEITO!$O$331*EFEITO!$AA$331</f>
        <v>0</v>
      </c>
      <c r="P331" s="45"/>
      <c r="Q331" s="45"/>
      <c r="R331" s="45"/>
      <c r="S331" s="45"/>
      <c r="T331" s="45"/>
      <c r="U331" s="45"/>
      <c r="V331" s="45"/>
      <c r="W331" s="45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41" t="s">
        <v>21</v>
      </c>
      <c r="B332" s="41" t="s">
        <v>33</v>
      </c>
      <c r="C332" s="41" t="s">
        <v>23</v>
      </c>
      <c r="D332" s="41" t="s">
        <v>34</v>
      </c>
      <c r="E332" s="41" t="s">
        <v>25</v>
      </c>
      <c r="F332" s="41" t="s">
        <v>25</v>
      </c>
      <c r="G332" s="41" t="s">
        <v>25</v>
      </c>
      <c r="H332" s="41" t="s">
        <v>25</v>
      </c>
      <c r="I332" s="60">
        <v>44440</v>
      </c>
      <c r="J332" s="61">
        <f>EFEITO!$J$332*EFEITO!$Y$332</f>
        <v>0</v>
      </c>
      <c r="K332" s="61">
        <f ca="1">EFEITO!$L$332*EFEITO!$Z$332</f>
        <v>8832.7464637865651</v>
      </c>
      <c r="L332" s="61">
        <f>EFEITO!$N$332*EFEITO!$AA$332</f>
        <v>3765.7131397551311</v>
      </c>
      <c r="M332" s="61">
        <f>$J$332-EFEITO!$K$332*EFEITO!$Y$332</f>
        <v>0</v>
      </c>
      <c r="N332" s="61">
        <f ca="1">$K$332-EFEITO!$M$332*EFEITO!$Z$332</f>
        <v>0</v>
      </c>
      <c r="O332" s="61">
        <f>$L$332-EFEITO!$O$332*EFEITO!$AA$332</f>
        <v>0</v>
      </c>
      <c r="P332" s="45"/>
      <c r="Q332" s="45"/>
      <c r="R332" s="45"/>
      <c r="S332" s="45"/>
      <c r="T332" s="45"/>
      <c r="U332" s="45"/>
      <c r="V332" s="45"/>
      <c r="W332" s="45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41" t="s">
        <v>28</v>
      </c>
      <c r="B333" s="41" t="s">
        <v>33</v>
      </c>
      <c r="C333" s="41" t="s">
        <v>23</v>
      </c>
      <c r="D333" s="41" t="s">
        <v>34</v>
      </c>
      <c r="E333" s="41" t="s">
        <v>25</v>
      </c>
      <c r="F333" s="41" t="s">
        <v>25</v>
      </c>
      <c r="G333" s="41" t="s">
        <v>25</v>
      </c>
      <c r="H333" s="41" t="s">
        <v>25</v>
      </c>
      <c r="I333" s="60">
        <v>44440</v>
      </c>
      <c r="J333" s="61">
        <f>EFEITO!$J$333*EFEITO!$Y$333</f>
        <v>0</v>
      </c>
      <c r="K333" s="61">
        <f ca="1">EFEITO!$L$333*EFEITO!$Z$333</f>
        <v>6182.2504922034395</v>
      </c>
      <c r="L333" s="61">
        <f>EFEITO!$N$333*EFEITO!$AA$333</f>
        <v>2635.7126865574969</v>
      </c>
      <c r="M333" s="61">
        <f>$J$333-EFEITO!$K$333*EFEITO!$Y$333</f>
        <v>0</v>
      </c>
      <c r="N333" s="61">
        <f ca="1">$K$333-EFEITO!$M$333*EFEITO!$Z$333</f>
        <v>0</v>
      </c>
      <c r="O333" s="61">
        <f>$L$333-EFEITO!$O$333*EFEITO!$AA$333</f>
        <v>0</v>
      </c>
      <c r="P333" s="45"/>
      <c r="Q333" s="45"/>
      <c r="R333" s="45"/>
      <c r="S333" s="45"/>
      <c r="T333" s="45"/>
      <c r="U333" s="45"/>
      <c r="V333" s="45"/>
      <c r="W333" s="45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41" t="s">
        <v>21</v>
      </c>
      <c r="B334" s="41" t="s">
        <v>33</v>
      </c>
      <c r="C334" s="41" t="s">
        <v>23</v>
      </c>
      <c r="D334" s="41" t="s">
        <v>34</v>
      </c>
      <c r="E334" s="41" t="s">
        <v>25</v>
      </c>
      <c r="F334" s="41" t="s">
        <v>25</v>
      </c>
      <c r="G334" s="41" t="s">
        <v>25</v>
      </c>
      <c r="H334" s="41" t="s">
        <v>25</v>
      </c>
      <c r="I334" s="60">
        <v>44470</v>
      </c>
      <c r="J334" s="61">
        <f>EFEITO!$J$334*EFEITO!$Y$334</f>
        <v>0</v>
      </c>
      <c r="K334" s="61">
        <f ca="1">EFEITO!$L$334*EFEITO!$Z$334</f>
        <v>9622.6086000105424</v>
      </c>
      <c r="L334" s="61">
        <f>EFEITO!$N$334*EFEITO!$AA$334</f>
        <v>4102.4593870484769</v>
      </c>
      <c r="M334" s="61">
        <f>$J$334-EFEITO!$K$334*EFEITO!$Y$334</f>
        <v>0</v>
      </c>
      <c r="N334" s="61">
        <f ca="1">$K$334-EFEITO!$M$334*EFEITO!$Z$334</f>
        <v>0</v>
      </c>
      <c r="O334" s="61">
        <f>$L$334-EFEITO!$O$334*EFEITO!$AA$334</f>
        <v>0</v>
      </c>
      <c r="P334" s="45"/>
      <c r="Q334" s="45"/>
      <c r="R334" s="45"/>
      <c r="S334" s="45"/>
      <c r="T334" s="45"/>
      <c r="U334" s="45"/>
      <c r="V334" s="45"/>
      <c r="W334" s="45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41" t="s">
        <v>28</v>
      </c>
      <c r="B335" s="41" t="s">
        <v>33</v>
      </c>
      <c r="C335" s="41" t="s">
        <v>23</v>
      </c>
      <c r="D335" s="41" t="s">
        <v>34</v>
      </c>
      <c r="E335" s="41" t="s">
        <v>25</v>
      </c>
      <c r="F335" s="41" t="s">
        <v>25</v>
      </c>
      <c r="G335" s="41" t="s">
        <v>25</v>
      </c>
      <c r="H335" s="41" t="s">
        <v>25</v>
      </c>
      <c r="I335" s="60">
        <v>44470</v>
      </c>
      <c r="J335" s="61">
        <f>EFEITO!$J$335*EFEITO!$Y$335</f>
        <v>0</v>
      </c>
      <c r="K335" s="61">
        <f ca="1">EFEITO!$L$335*EFEITO!$Z$335</f>
        <v>6910.2856432890676</v>
      </c>
      <c r="L335" s="61">
        <f>EFEITO!$N$335*EFEITO!$AA$335</f>
        <v>2946.0998969101265</v>
      </c>
      <c r="M335" s="61">
        <f>$J$335-EFEITO!$K$335*EFEITO!$Y$335</f>
        <v>0</v>
      </c>
      <c r="N335" s="61">
        <f ca="1">$K$335-EFEITO!$M$335*EFEITO!$Z$335</f>
        <v>0</v>
      </c>
      <c r="O335" s="61">
        <f>$L$335-EFEITO!$O$335*EFEITO!$AA$335</f>
        <v>0</v>
      </c>
      <c r="P335" s="45"/>
      <c r="Q335" s="45"/>
      <c r="R335" s="45"/>
      <c r="S335" s="45"/>
      <c r="T335" s="45"/>
      <c r="U335" s="45"/>
      <c r="V335" s="45"/>
      <c r="W335" s="45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41" t="s">
        <v>21</v>
      </c>
      <c r="B336" s="41" t="s">
        <v>33</v>
      </c>
      <c r="C336" s="41" t="s">
        <v>23</v>
      </c>
      <c r="D336" s="41" t="s">
        <v>34</v>
      </c>
      <c r="E336" s="41" t="s">
        <v>25</v>
      </c>
      <c r="F336" s="41" t="s">
        <v>25</v>
      </c>
      <c r="G336" s="41" t="s">
        <v>25</v>
      </c>
      <c r="H336" s="41" t="s">
        <v>25</v>
      </c>
      <c r="I336" s="60">
        <v>44501</v>
      </c>
      <c r="J336" s="61">
        <f>EFEITO!$J$336*EFEITO!$Y$336</f>
        <v>0</v>
      </c>
      <c r="K336" s="61">
        <f ca="1">EFEITO!$L$336*EFEITO!$Z$336</f>
        <v>11053.141669189872</v>
      </c>
      <c r="L336" s="61">
        <f>EFEITO!$N$336*EFEITO!$AA$336</f>
        <v>4712.3463794521349</v>
      </c>
      <c r="M336" s="61">
        <f>$J$336-EFEITO!$K$336*EFEITO!$Y$336</f>
        <v>0</v>
      </c>
      <c r="N336" s="61">
        <f ca="1">$K$336-EFEITO!$M$336*EFEITO!$Z$336</f>
        <v>0</v>
      </c>
      <c r="O336" s="61">
        <f>$L$336-EFEITO!$O$336*EFEITO!$AA$336</f>
        <v>0</v>
      </c>
      <c r="P336" s="45"/>
      <c r="Q336" s="45"/>
      <c r="R336" s="45"/>
      <c r="S336" s="45"/>
      <c r="T336" s="45"/>
      <c r="U336" s="45"/>
      <c r="V336" s="45"/>
      <c r="W336" s="45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41" t="s">
        <v>28</v>
      </c>
      <c r="B337" s="41" t="s">
        <v>33</v>
      </c>
      <c r="C337" s="41" t="s">
        <v>23</v>
      </c>
      <c r="D337" s="41" t="s">
        <v>34</v>
      </c>
      <c r="E337" s="41" t="s">
        <v>25</v>
      </c>
      <c r="F337" s="41" t="s">
        <v>25</v>
      </c>
      <c r="G337" s="41" t="s">
        <v>25</v>
      </c>
      <c r="H337" s="41" t="s">
        <v>25</v>
      </c>
      <c r="I337" s="60">
        <v>44501</v>
      </c>
      <c r="J337" s="61">
        <f>EFEITO!$J$337*EFEITO!$Y$337</f>
        <v>0</v>
      </c>
      <c r="K337" s="61">
        <f ca="1">EFEITO!$L$337*EFEITO!$Z$337</f>
        <v>4448.8548001724876</v>
      </c>
      <c r="L337" s="61">
        <f>EFEITO!$N$337*EFEITO!$AA$337</f>
        <v>1896.7046146471446</v>
      </c>
      <c r="M337" s="61">
        <f>$J$337-EFEITO!$K$337*EFEITO!$Y$337</f>
        <v>0</v>
      </c>
      <c r="N337" s="61">
        <f ca="1">$K$337-EFEITO!$M$337*EFEITO!$Z$337</f>
        <v>0</v>
      </c>
      <c r="O337" s="61">
        <f>$L$337-EFEITO!$O$337*EFEITO!$AA$337</f>
        <v>0</v>
      </c>
      <c r="P337" s="45"/>
      <c r="Q337" s="45"/>
      <c r="R337" s="45"/>
      <c r="S337" s="45"/>
      <c r="T337" s="45"/>
      <c r="U337" s="45"/>
      <c r="V337" s="45"/>
      <c r="W337" s="45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41" t="s">
        <v>21</v>
      </c>
      <c r="B338" s="41" t="s">
        <v>33</v>
      </c>
      <c r="C338" s="41" t="s">
        <v>23</v>
      </c>
      <c r="D338" s="41" t="s">
        <v>34</v>
      </c>
      <c r="E338" s="41" t="s">
        <v>25</v>
      </c>
      <c r="F338" s="41" t="s">
        <v>25</v>
      </c>
      <c r="G338" s="41" t="s">
        <v>25</v>
      </c>
      <c r="H338" s="41" t="s">
        <v>25</v>
      </c>
      <c r="I338" s="60">
        <v>44531</v>
      </c>
      <c r="J338" s="61">
        <f>EFEITO!$J$338*EFEITO!$Y$338</f>
        <v>0</v>
      </c>
      <c r="K338" s="61">
        <f ca="1">EFEITO!$L$338*EFEITO!$Z$338</f>
        <v>11794.617469218621</v>
      </c>
      <c r="L338" s="61">
        <f>EFEITO!$N$338*EFEITO!$AA$338</f>
        <v>5028.4638152266598</v>
      </c>
      <c r="M338" s="61">
        <f>$J$338-EFEITO!$K$338*EFEITO!$Y$338</f>
        <v>0</v>
      </c>
      <c r="N338" s="61">
        <f ca="1">$K$338-EFEITO!$M$338*EFEITO!$Z$338</f>
        <v>0</v>
      </c>
      <c r="O338" s="61">
        <f>$L$338-EFEITO!$O$338*EFEITO!$AA$338</f>
        <v>0</v>
      </c>
      <c r="P338" s="45"/>
      <c r="Q338" s="45"/>
      <c r="R338" s="45"/>
      <c r="S338" s="45"/>
      <c r="T338" s="45"/>
      <c r="U338" s="45"/>
      <c r="V338" s="45"/>
      <c r="W338" s="45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41" t="s">
        <v>28</v>
      </c>
      <c r="B339" s="41" t="s">
        <v>33</v>
      </c>
      <c r="C339" s="41" t="s">
        <v>23</v>
      </c>
      <c r="D339" s="41" t="s">
        <v>34</v>
      </c>
      <c r="E339" s="41" t="s">
        <v>25</v>
      </c>
      <c r="F339" s="41" t="s">
        <v>25</v>
      </c>
      <c r="G339" s="41" t="s">
        <v>25</v>
      </c>
      <c r="H339" s="41" t="s">
        <v>25</v>
      </c>
      <c r="I339" s="60">
        <v>44531</v>
      </c>
      <c r="J339" s="61">
        <f>EFEITO!$J$339*EFEITO!$Y$339</f>
        <v>0</v>
      </c>
      <c r="K339" s="61">
        <f ca="1">EFEITO!$L$339*EFEITO!$Z$339</f>
        <v>4005.3133850495506</v>
      </c>
      <c r="L339" s="61">
        <f>EFEITO!$N$339*EFEITO!$AA$339</f>
        <v>1707.6071757246195</v>
      </c>
      <c r="M339" s="61">
        <f>$J$339-EFEITO!$K$339*EFEITO!$Y$339</f>
        <v>0</v>
      </c>
      <c r="N339" s="61">
        <f ca="1">$K$339-EFEITO!$M$339*EFEITO!$Z$339</f>
        <v>0</v>
      </c>
      <c r="O339" s="61">
        <f>$L$339-EFEITO!$O$339*EFEITO!$AA$339</f>
        <v>0</v>
      </c>
      <c r="P339" s="45"/>
      <c r="Q339" s="45"/>
      <c r="R339" s="45"/>
      <c r="S339" s="45"/>
      <c r="T339" s="45"/>
      <c r="U339" s="45"/>
      <c r="V339" s="45"/>
      <c r="W339" s="45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41" t="s">
        <v>21</v>
      </c>
      <c r="B340" s="41" t="s">
        <v>33</v>
      </c>
      <c r="C340" s="41" t="s">
        <v>23</v>
      </c>
      <c r="D340" s="41" t="s">
        <v>34</v>
      </c>
      <c r="E340" s="41" t="s">
        <v>25</v>
      </c>
      <c r="F340" s="41" t="s">
        <v>25</v>
      </c>
      <c r="G340" s="41" t="s">
        <v>25</v>
      </c>
      <c r="H340" s="41" t="s">
        <v>25</v>
      </c>
      <c r="I340" s="60">
        <v>44562</v>
      </c>
      <c r="J340" s="61">
        <f>EFEITO!$J$340*EFEITO!$Y$340</f>
        <v>0</v>
      </c>
      <c r="K340" s="61">
        <f ca="1">EFEITO!$L$340*EFEITO!$Z$340</f>
        <v>7875.772259036471</v>
      </c>
      <c r="L340" s="61">
        <f>EFEITO!$N$340*EFEITO!$AA$340</f>
        <v>3357.721089716229</v>
      </c>
      <c r="M340" s="61">
        <f>$J$340-EFEITO!$K$340*EFEITO!$Y$340</f>
        <v>0</v>
      </c>
      <c r="N340" s="61">
        <f ca="1">$K$340-EFEITO!$M$340*EFEITO!$Z$340</f>
        <v>0</v>
      </c>
      <c r="O340" s="61">
        <f>$L$340-EFEITO!$O$340*EFEITO!$AA$340</f>
        <v>0</v>
      </c>
      <c r="P340" s="45"/>
      <c r="Q340" s="45"/>
      <c r="R340" s="45"/>
      <c r="S340" s="45"/>
      <c r="T340" s="45"/>
      <c r="U340" s="45"/>
      <c r="V340" s="45"/>
      <c r="W340" s="45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41" t="s">
        <v>28</v>
      </c>
      <c r="B341" s="41" t="s">
        <v>33</v>
      </c>
      <c r="C341" s="41" t="s">
        <v>23</v>
      </c>
      <c r="D341" s="41" t="s">
        <v>34</v>
      </c>
      <c r="E341" s="41" t="s">
        <v>25</v>
      </c>
      <c r="F341" s="41" t="s">
        <v>25</v>
      </c>
      <c r="G341" s="41" t="s">
        <v>25</v>
      </c>
      <c r="H341" s="41" t="s">
        <v>25</v>
      </c>
      <c r="I341" s="60">
        <v>44562</v>
      </c>
      <c r="J341" s="61">
        <f>EFEITO!$J$341*EFEITO!$Y$341</f>
        <v>0</v>
      </c>
      <c r="K341" s="61">
        <f ca="1">EFEITO!$L$341*EFEITO!$Z$341</f>
        <v>179.20865257492397</v>
      </c>
      <c r="L341" s="61">
        <f>EFEITO!$N$341*EFEITO!$AA$341</f>
        <v>76.403005625262622</v>
      </c>
      <c r="M341" s="61">
        <f>$J$341-EFEITO!$K$341*EFEITO!$Y$341</f>
        <v>0</v>
      </c>
      <c r="N341" s="61">
        <f ca="1">$K$341-EFEITO!$M$341*EFEITO!$Z$341</f>
        <v>0</v>
      </c>
      <c r="O341" s="61">
        <f>$L$341-EFEITO!$O$341*EFEITO!$AA$341</f>
        <v>0</v>
      </c>
      <c r="P341" s="45"/>
      <c r="Q341" s="45"/>
      <c r="R341" s="45"/>
      <c r="S341" s="45"/>
      <c r="T341" s="45"/>
      <c r="U341" s="45"/>
      <c r="V341" s="45"/>
      <c r="W341" s="45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41" t="s">
        <v>21</v>
      </c>
      <c r="B342" s="41" t="s">
        <v>33</v>
      </c>
      <c r="C342" s="41" t="s">
        <v>23</v>
      </c>
      <c r="D342" s="41" t="s">
        <v>34</v>
      </c>
      <c r="E342" s="41" t="s">
        <v>25</v>
      </c>
      <c r="F342" s="41" t="s">
        <v>25</v>
      </c>
      <c r="G342" s="41" t="s">
        <v>25</v>
      </c>
      <c r="H342" s="41" t="s">
        <v>25</v>
      </c>
      <c r="I342" s="60">
        <v>44593</v>
      </c>
      <c r="J342" s="61">
        <f>EFEITO!$J$342*EFEITO!$Y$342</f>
        <v>0</v>
      </c>
      <c r="K342" s="61">
        <f ca="1">EFEITO!$L$342*EFEITO!$Z$342</f>
        <v>22132.716614634548</v>
      </c>
      <c r="L342" s="61">
        <f>EFEITO!$N$342*EFEITO!$AA$342</f>
        <v>9435.9622022339972</v>
      </c>
      <c r="M342" s="61">
        <f>$J$342-EFEITO!$K$342*EFEITO!$Y$342</f>
        <v>0</v>
      </c>
      <c r="N342" s="61">
        <f ca="1">$K$342-EFEITO!$M$342*EFEITO!$Z$342</f>
        <v>0</v>
      </c>
      <c r="O342" s="61">
        <f>$L$342-EFEITO!$O$342*EFEITO!$AA$342</f>
        <v>0</v>
      </c>
      <c r="P342" s="45"/>
      <c r="Q342" s="45"/>
      <c r="R342" s="45"/>
      <c r="S342" s="45"/>
      <c r="T342" s="45"/>
      <c r="U342" s="45"/>
      <c r="V342" s="45"/>
      <c r="W342" s="45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41" t="s">
        <v>28</v>
      </c>
      <c r="B343" s="41" t="s">
        <v>33</v>
      </c>
      <c r="C343" s="41" t="s">
        <v>23</v>
      </c>
      <c r="D343" s="41" t="s">
        <v>34</v>
      </c>
      <c r="E343" s="41" t="s">
        <v>25</v>
      </c>
      <c r="F343" s="41" t="s">
        <v>25</v>
      </c>
      <c r="G343" s="41" t="s">
        <v>25</v>
      </c>
      <c r="H343" s="41" t="s">
        <v>25</v>
      </c>
      <c r="I343" s="60">
        <v>44593</v>
      </c>
      <c r="J343" s="61">
        <f>EFEITO!$J$343*EFEITO!$Y$343</f>
        <v>0</v>
      </c>
      <c r="K343" s="61">
        <f ca="1">EFEITO!$L$343*EFEITO!$Z$343</f>
        <v>369.61784593578068</v>
      </c>
      <c r="L343" s="61">
        <f>EFEITO!$N$343*EFEITO!$AA$343</f>
        <v>157.58119910210414</v>
      </c>
      <c r="M343" s="61">
        <f>$J$343-EFEITO!$K$343*EFEITO!$Y$343</f>
        <v>0</v>
      </c>
      <c r="N343" s="61">
        <f ca="1">$K$343-EFEITO!$M$343*EFEITO!$Z$343</f>
        <v>0</v>
      </c>
      <c r="O343" s="61">
        <f>$L$343-EFEITO!$O$343*EFEITO!$AA$343</f>
        <v>0</v>
      </c>
      <c r="P343" s="45"/>
      <c r="Q343" s="45"/>
      <c r="R343" s="45"/>
      <c r="S343" s="45"/>
      <c r="T343" s="45"/>
      <c r="U343" s="45"/>
      <c r="V343" s="45"/>
      <c r="W343" s="45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41" t="s">
        <v>21</v>
      </c>
      <c r="B344" s="41" t="s">
        <v>33</v>
      </c>
      <c r="C344" s="41" t="s">
        <v>23</v>
      </c>
      <c r="D344" s="41" t="s">
        <v>34</v>
      </c>
      <c r="E344" s="41" t="s">
        <v>25</v>
      </c>
      <c r="F344" s="41" t="s">
        <v>25</v>
      </c>
      <c r="G344" s="41" t="s">
        <v>25</v>
      </c>
      <c r="H344" s="41" t="s">
        <v>25</v>
      </c>
      <c r="I344" s="60">
        <v>44621</v>
      </c>
      <c r="J344" s="61">
        <f>EFEITO!$J$344*EFEITO!$Y$344</f>
        <v>0</v>
      </c>
      <c r="K344" s="61">
        <f ca="1">EFEITO!$L$344*EFEITO!$Z$344</f>
        <v>18470.139777634537</v>
      </c>
      <c r="L344" s="61">
        <f>EFEITO!$N$344*EFEITO!$AA$344</f>
        <v>7874.4757747676913</v>
      </c>
      <c r="M344" s="61">
        <f>$J$344-EFEITO!$K$344*EFEITO!$Y$344</f>
        <v>0</v>
      </c>
      <c r="N344" s="61">
        <f ca="1">$K$344-EFEITO!$M$344*EFEITO!$Z$344</f>
        <v>0</v>
      </c>
      <c r="O344" s="61">
        <f>$L$344-EFEITO!$O$344*EFEITO!$AA$344</f>
        <v>0</v>
      </c>
      <c r="P344" s="45"/>
      <c r="Q344" s="45"/>
      <c r="R344" s="45"/>
      <c r="S344" s="45"/>
      <c r="T344" s="45"/>
      <c r="U344" s="45"/>
      <c r="V344" s="45"/>
      <c r="W344" s="45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41" t="s">
        <v>28</v>
      </c>
      <c r="B345" s="41" t="s">
        <v>33</v>
      </c>
      <c r="C345" s="41" t="s">
        <v>23</v>
      </c>
      <c r="D345" s="41" t="s">
        <v>34</v>
      </c>
      <c r="E345" s="41" t="s">
        <v>25</v>
      </c>
      <c r="F345" s="41" t="s">
        <v>25</v>
      </c>
      <c r="G345" s="41" t="s">
        <v>25</v>
      </c>
      <c r="H345" s="41" t="s">
        <v>25</v>
      </c>
      <c r="I345" s="60">
        <v>44621</v>
      </c>
      <c r="J345" s="61">
        <f>EFEITO!$J$345*EFEITO!$Y$345</f>
        <v>0</v>
      </c>
      <c r="K345" s="61">
        <f ca="1">EFEITO!$L$345*EFEITO!$Z$345</f>
        <v>707.87417767094973</v>
      </c>
      <c r="L345" s="61">
        <f>EFEITO!$N$345*EFEITO!$AA$345</f>
        <v>301.79187221978736</v>
      </c>
      <c r="M345" s="61">
        <f>$J$345-EFEITO!$K$345*EFEITO!$Y$345</f>
        <v>0</v>
      </c>
      <c r="N345" s="61">
        <f ca="1">$K$345-EFEITO!$M$345*EFEITO!$Z$345</f>
        <v>0</v>
      </c>
      <c r="O345" s="61">
        <f>$L$345-EFEITO!$O$345*EFEITO!$AA$345</f>
        <v>0</v>
      </c>
      <c r="P345" s="45"/>
      <c r="Q345" s="45"/>
      <c r="R345" s="45"/>
      <c r="S345" s="45"/>
      <c r="T345" s="45"/>
      <c r="U345" s="45"/>
      <c r="V345" s="45"/>
      <c r="W345" s="45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41" t="s">
        <v>21</v>
      </c>
      <c r="B346" s="41" t="s">
        <v>33</v>
      </c>
      <c r="C346" s="41" t="s">
        <v>23</v>
      </c>
      <c r="D346" s="41" t="s">
        <v>34</v>
      </c>
      <c r="E346" s="41" t="s">
        <v>25</v>
      </c>
      <c r="F346" s="41" t="s">
        <v>25</v>
      </c>
      <c r="G346" s="41" t="s">
        <v>25</v>
      </c>
      <c r="H346" s="41" t="s">
        <v>25</v>
      </c>
      <c r="I346" s="60">
        <v>44652</v>
      </c>
      <c r="J346" s="61">
        <f>EFEITO!$J$346*EFEITO!$Y$346</f>
        <v>0</v>
      </c>
      <c r="K346" s="61">
        <f ca="1">EFEITO!$L$346*EFEITO!$Z$346</f>
        <v>17459.402977111968</v>
      </c>
      <c r="L346" s="61">
        <f>EFEITO!$N$346*EFEITO!$AA$346</f>
        <v>7443.5628230412103</v>
      </c>
      <c r="M346" s="61">
        <f>$J$346-EFEITO!$K$346*EFEITO!$Y$346</f>
        <v>0</v>
      </c>
      <c r="N346" s="61">
        <f ca="1">$K$346-EFEITO!$M$346*EFEITO!$Z$346</f>
        <v>0</v>
      </c>
      <c r="O346" s="61">
        <f>$L$346-EFEITO!$O$346*EFEITO!$AA$346</f>
        <v>0</v>
      </c>
      <c r="P346" s="45"/>
      <c r="Q346" s="45"/>
      <c r="R346" s="45"/>
      <c r="S346" s="45"/>
      <c r="T346" s="45"/>
      <c r="U346" s="45"/>
      <c r="V346" s="45"/>
      <c r="W346" s="45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41" t="s">
        <v>28</v>
      </c>
      <c r="B347" s="41" t="s">
        <v>33</v>
      </c>
      <c r="C347" s="41" t="s">
        <v>23</v>
      </c>
      <c r="D347" s="41" t="s">
        <v>34</v>
      </c>
      <c r="E347" s="41" t="s">
        <v>25</v>
      </c>
      <c r="F347" s="41" t="s">
        <v>25</v>
      </c>
      <c r="G347" s="41" t="s">
        <v>25</v>
      </c>
      <c r="H347" s="41" t="s">
        <v>25</v>
      </c>
      <c r="I347" s="60">
        <v>44652</v>
      </c>
      <c r="J347" s="61">
        <f>EFEITO!$J$347*EFEITO!$Y$347</f>
        <v>0</v>
      </c>
      <c r="K347" s="61">
        <f ca="1">EFEITO!$L$347*EFEITO!$Z$347</f>
        <v>1066.2914828207975</v>
      </c>
      <c r="L347" s="61">
        <f>EFEITO!$N$347*EFEITO!$AA$347</f>
        <v>454.59788347031258</v>
      </c>
      <c r="M347" s="61">
        <f>$J$347-EFEITO!$K$347*EFEITO!$Y$347</f>
        <v>0</v>
      </c>
      <c r="N347" s="61">
        <f ca="1">$K$347-EFEITO!$M$347*EFEITO!$Z$347</f>
        <v>0</v>
      </c>
      <c r="O347" s="61">
        <f>$L$347-EFEITO!$O$347*EFEITO!$AA$347</f>
        <v>0</v>
      </c>
      <c r="P347" s="45"/>
      <c r="Q347" s="45"/>
      <c r="R347" s="45"/>
      <c r="S347" s="45"/>
      <c r="T347" s="45"/>
      <c r="U347" s="45"/>
      <c r="V347" s="45"/>
      <c r="W347" s="45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41" t="s">
        <v>21</v>
      </c>
      <c r="B348" s="41" t="s">
        <v>33</v>
      </c>
      <c r="C348" s="41" t="s">
        <v>23</v>
      </c>
      <c r="D348" s="41" t="s">
        <v>34</v>
      </c>
      <c r="E348" s="41" t="s">
        <v>25</v>
      </c>
      <c r="F348" s="41" t="s">
        <v>25</v>
      </c>
      <c r="G348" s="41" t="s">
        <v>25</v>
      </c>
      <c r="H348" s="41" t="s">
        <v>25</v>
      </c>
      <c r="I348" s="60">
        <v>44682</v>
      </c>
      <c r="J348" s="61">
        <f>EFEITO!$J$348*EFEITO!$Y$348</f>
        <v>0</v>
      </c>
      <c r="K348" s="61">
        <f ca="1">EFEITO!$L$348*EFEITO!$Z$348</f>
        <v>10297.777198586567</v>
      </c>
      <c r="L348" s="61">
        <f>EFEITO!$N$348*EFEITO!$AA$348</f>
        <v>4390.307710741653</v>
      </c>
      <c r="M348" s="61">
        <f>$J$348-EFEITO!$K$348*EFEITO!$Y$348</f>
        <v>0</v>
      </c>
      <c r="N348" s="61">
        <f ca="1">$K$348-EFEITO!$M$348*EFEITO!$Z$348</f>
        <v>0</v>
      </c>
      <c r="O348" s="61">
        <f>$L$348-EFEITO!$O$348*EFEITO!$AA$348</f>
        <v>0</v>
      </c>
      <c r="P348" s="45"/>
      <c r="Q348" s="45"/>
      <c r="R348" s="45"/>
      <c r="S348" s="45"/>
      <c r="T348" s="45"/>
      <c r="U348" s="45"/>
      <c r="V348" s="45"/>
      <c r="W348" s="45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41" t="s">
        <v>28</v>
      </c>
      <c r="B349" s="41" t="s">
        <v>33</v>
      </c>
      <c r="C349" s="41" t="s">
        <v>23</v>
      </c>
      <c r="D349" s="41" t="s">
        <v>34</v>
      </c>
      <c r="E349" s="41" t="s">
        <v>25</v>
      </c>
      <c r="F349" s="41" t="s">
        <v>25</v>
      </c>
      <c r="G349" s="41" t="s">
        <v>25</v>
      </c>
      <c r="H349" s="41" t="s">
        <v>25</v>
      </c>
      <c r="I349" s="60">
        <v>44682</v>
      </c>
      <c r="J349" s="61">
        <f>EFEITO!$J$349*EFEITO!$Y$349</f>
        <v>0</v>
      </c>
      <c r="K349" s="61">
        <f ca="1">EFEITO!$L$349*EFEITO!$Z$349</f>
        <v>1012.5288870483203</v>
      </c>
      <c r="L349" s="61">
        <f>EFEITO!$N$349*EFEITO!$AA$349</f>
        <v>431.67698178273378</v>
      </c>
      <c r="M349" s="61">
        <f>$J$349-EFEITO!$K$349*EFEITO!$Y$349</f>
        <v>0</v>
      </c>
      <c r="N349" s="61">
        <f ca="1">$K$349-EFEITO!$M$349*EFEITO!$Z$349</f>
        <v>0</v>
      </c>
      <c r="O349" s="61">
        <f>$L$349-EFEITO!$O$349*EFEITO!$AA$349</f>
        <v>0</v>
      </c>
      <c r="P349" s="45"/>
      <c r="Q349" s="45"/>
      <c r="R349" s="45"/>
      <c r="S349" s="45"/>
      <c r="T349" s="45"/>
      <c r="U349" s="45"/>
      <c r="V349" s="45"/>
      <c r="W349" s="45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41" t="s">
        <v>21</v>
      </c>
      <c r="B350" s="41" t="s">
        <v>33</v>
      </c>
      <c r="C350" s="41" t="s">
        <v>23</v>
      </c>
      <c r="D350" s="41" t="s">
        <v>34</v>
      </c>
      <c r="E350" s="41" t="s">
        <v>25</v>
      </c>
      <c r="F350" s="41" t="s">
        <v>25</v>
      </c>
      <c r="G350" s="41" t="s">
        <v>25</v>
      </c>
      <c r="H350" s="41" t="s">
        <v>25</v>
      </c>
      <c r="I350" s="60">
        <v>44713</v>
      </c>
      <c r="J350" s="61">
        <f>EFEITO!$J$350*EFEITO!$Y$350</f>
        <v>0</v>
      </c>
      <c r="K350" s="61">
        <f ca="1">EFEITO!$L$350*EFEITO!$Z$350</f>
        <v>10772.680127910118</v>
      </c>
      <c r="L350" s="61">
        <f>EFEITO!$N$350*EFEITO!$AA$350</f>
        <v>4592.7756756485996</v>
      </c>
      <c r="M350" s="61">
        <f>$J$350-EFEITO!$K$350*EFEITO!$Y$350</f>
        <v>0</v>
      </c>
      <c r="N350" s="61">
        <f ca="1">$K$350-EFEITO!$M$350*EFEITO!$Z$350</f>
        <v>0</v>
      </c>
      <c r="O350" s="61">
        <f>$L$350-EFEITO!$O$350*EFEITO!$AA$350</f>
        <v>0</v>
      </c>
      <c r="P350" s="45"/>
      <c r="Q350" s="45"/>
      <c r="R350" s="45"/>
      <c r="S350" s="45"/>
      <c r="T350" s="45"/>
      <c r="U350" s="45"/>
      <c r="V350" s="45"/>
      <c r="W350" s="45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41" t="s">
        <v>28</v>
      </c>
      <c r="B351" s="41" t="s">
        <v>33</v>
      </c>
      <c r="C351" s="41" t="s">
        <v>23</v>
      </c>
      <c r="D351" s="41" t="s">
        <v>34</v>
      </c>
      <c r="E351" s="41" t="s">
        <v>25</v>
      </c>
      <c r="F351" s="41" t="s">
        <v>25</v>
      </c>
      <c r="G351" s="41" t="s">
        <v>25</v>
      </c>
      <c r="H351" s="41" t="s">
        <v>25</v>
      </c>
      <c r="I351" s="60">
        <v>44713</v>
      </c>
      <c r="J351" s="61">
        <f>EFEITO!$J$351*EFEITO!$Y$351</f>
        <v>0</v>
      </c>
      <c r="K351" s="61">
        <f ca="1">EFEITO!$L$351*EFEITO!$Z$351</f>
        <v>1310.911293585569</v>
      </c>
      <c r="L351" s="61">
        <f>EFEITO!$N$351*EFEITO!$AA$351</f>
        <v>558.88798614879613</v>
      </c>
      <c r="M351" s="61">
        <f>$J$351-EFEITO!$K$351*EFEITO!$Y$351</f>
        <v>0</v>
      </c>
      <c r="N351" s="61">
        <f ca="1">$K$351-EFEITO!$M$351*EFEITO!$Z$351</f>
        <v>0</v>
      </c>
      <c r="O351" s="61">
        <f>$L$351-EFEITO!$O$351*EFEITO!$AA$351</f>
        <v>0</v>
      </c>
      <c r="P351" s="45"/>
      <c r="Q351" s="45"/>
      <c r="R351" s="45"/>
      <c r="S351" s="45"/>
      <c r="T351" s="45"/>
      <c r="U351" s="45"/>
      <c r="V351" s="45"/>
      <c r="W351" s="45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41" t="s">
        <v>21</v>
      </c>
      <c r="B352" s="41" t="s">
        <v>33</v>
      </c>
      <c r="C352" s="41" t="s">
        <v>23</v>
      </c>
      <c r="D352" s="41" t="s">
        <v>34</v>
      </c>
      <c r="E352" s="41" t="s">
        <v>25</v>
      </c>
      <c r="F352" s="41" t="s">
        <v>25</v>
      </c>
      <c r="G352" s="41" t="s">
        <v>25</v>
      </c>
      <c r="H352" s="41" t="s">
        <v>25</v>
      </c>
      <c r="I352" s="60">
        <v>44743</v>
      </c>
      <c r="J352" s="61">
        <f>EFEITO!$J$352*EFEITO!$Y$352</f>
        <v>0</v>
      </c>
      <c r="K352" s="61">
        <f ca="1">EFEITO!$L$352*EFEITO!$Z$352</f>
        <v>10425.463363546201</v>
      </c>
      <c r="L352" s="61">
        <f>EFEITO!$N$352*EFEITO!$AA$352</f>
        <v>4444.7448522496525</v>
      </c>
      <c r="M352" s="61">
        <f>$J$352-EFEITO!$K$352*EFEITO!$Y$352</f>
        <v>0</v>
      </c>
      <c r="N352" s="61">
        <f ca="1">$K$352-EFEITO!$M$352*EFEITO!$Z$352</f>
        <v>0</v>
      </c>
      <c r="O352" s="61">
        <f>$L$352-EFEITO!$O$352*EFEITO!$AA$352</f>
        <v>0</v>
      </c>
      <c r="P352" s="45"/>
      <c r="Q352" s="45"/>
      <c r="R352" s="45"/>
      <c r="S352" s="45"/>
      <c r="T352" s="45"/>
      <c r="U352" s="45"/>
      <c r="V352" s="45"/>
      <c r="W352" s="45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41" t="s">
        <v>28</v>
      </c>
      <c r="B353" s="41" t="s">
        <v>33</v>
      </c>
      <c r="C353" s="41" t="s">
        <v>23</v>
      </c>
      <c r="D353" s="41" t="s">
        <v>34</v>
      </c>
      <c r="E353" s="41" t="s">
        <v>25</v>
      </c>
      <c r="F353" s="41" t="s">
        <v>25</v>
      </c>
      <c r="G353" s="41" t="s">
        <v>25</v>
      </c>
      <c r="H353" s="41" t="s">
        <v>25</v>
      </c>
      <c r="I353" s="60">
        <v>44743</v>
      </c>
      <c r="J353" s="61">
        <f>EFEITO!$J$353*EFEITO!$Y$353</f>
        <v>0</v>
      </c>
      <c r="K353" s="61">
        <f ca="1">EFEITO!$L$353*EFEITO!$Z$353</f>
        <v>1249.0843084472199</v>
      </c>
      <c r="L353" s="61">
        <f>EFEITO!$N$353*EFEITO!$AA$353</f>
        <v>532.52894920808046</v>
      </c>
      <c r="M353" s="61">
        <f>$J$353-EFEITO!$K$353*EFEITO!$Y$353</f>
        <v>0</v>
      </c>
      <c r="N353" s="61">
        <f ca="1">$K$353-EFEITO!$M$353*EFEITO!$Z$353</f>
        <v>0</v>
      </c>
      <c r="O353" s="61">
        <f>$L$353-EFEITO!$O$353*EFEITO!$AA$353</f>
        <v>0</v>
      </c>
      <c r="P353" s="45"/>
      <c r="Q353" s="45"/>
      <c r="R353" s="45"/>
      <c r="S353" s="45"/>
      <c r="T353" s="45"/>
      <c r="U353" s="45"/>
      <c r="V353" s="45"/>
      <c r="W353" s="45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41" t="s">
        <v>55</v>
      </c>
      <c r="B354" s="41" t="s">
        <v>33</v>
      </c>
      <c r="C354" s="41" t="s">
        <v>23</v>
      </c>
      <c r="D354" s="41" t="s">
        <v>34</v>
      </c>
      <c r="E354" s="41" t="s">
        <v>25</v>
      </c>
      <c r="F354" s="41" t="s">
        <v>25</v>
      </c>
      <c r="G354" s="41" t="s">
        <v>25</v>
      </c>
      <c r="H354" s="41" t="s">
        <v>25</v>
      </c>
      <c r="I354" s="60">
        <v>44774</v>
      </c>
      <c r="J354" s="61">
        <f>EFEITO!$J$354*EFEITO!$Y$354</f>
        <v>0</v>
      </c>
      <c r="K354" s="61">
        <f ca="1">EFEITO!$L$354*EFEITO!$Z$354</f>
        <v>10425.463363546201</v>
      </c>
      <c r="L354" s="61">
        <f>EFEITO!$N$354*EFEITO!$AA$354</f>
        <v>4444.7448522496525</v>
      </c>
      <c r="M354" s="61">
        <f>$J$354-EFEITO!$K$354*EFEITO!$Y$354</f>
        <v>0</v>
      </c>
      <c r="N354" s="61">
        <f ca="1">$K$354-EFEITO!$M$354*EFEITO!$Z$354</f>
        <v>0</v>
      </c>
      <c r="O354" s="61">
        <f>$L$354-EFEITO!$O$354*EFEITO!$AA$354</f>
        <v>0</v>
      </c>
      <c r="P354" s="45"/>
      <c r="Q354" s="45"/>
      <c r="R354" s="45"/>
      <c r="S354" s="45"/>
      <c r="T354" s="45"/>
      <c r="U354" s="45"/>
      <c r="V354" s="45"/>
      <c r="W354" s="45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41" t="s">
        <v>55</v>
      </c>
      <c r="B355" s="41" t="s">
        <v>33</v>
      </c>
      <c r="C355" s="41" t="s">
        <v>23</v>
      </c>
      <c r="D355" s="41" t="s">
        <v>34</v>
      </c>
      <c r="E355" s="41" t="s">
        <v>25</v>
      </c>
      <c r="F355" s="41" t="s">
        <v>25</v>
      </c>
      <c r="G355" s="41" t="s">
        <v>25</v>
      </c>
      <c r="H355" s="41" t="s">
        <v>25</v>
      </c>
      <c r="I355" s="60">
        <v>44774</v>
      </c>
      <c r="J355" s="61">
        <f>EFEITO!$J$355*EFEITO!$Y$355</f>
        <v>0</v>
      </c>
      <c r="K355" s="61">
        <f ca="1">EFEITO!$L$355*EFEITO!$Z$355</f>
        <v>1249.0843084472199</v>
      </c>
      <c r="L355" s="61">
        <f>EFEITO!$N$355*EFEITO!$AA$355</f>
        <v>532.52894920808046</v>
      </c>
      <c r="M355" s="61">
        <f>$J$355-EFEITO!$K$355*EFEITO!$Y$355</f>
        <v>0</v>
      </c>
      <c r="N355" s="61">
        <f ca="1">$K$355-EFEITO!$M$355*EFEITO!$Z$355</f>
        <v>0</v>
      </c>
      <c r="O355" s="61">
        <f>$L$355-EFEITO!$O$355*EFEITO!$AA$355</f>
        <v>0</v>
      </c>
      <c r="P355" s="45"/>
      <c r="Q355" s="45"/>
      <c r="R355" s="45"/>
      <c r="S355" s="45"/>
      <c r="T355" s="45"/>
      <c r="U355" s="45"/>
      <c r="V355" s="45"/>
      <c r="W355" s="45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41" t="s">
        <v>21</v>
      </c>
      <c r="B356" s="41" t="s">
        <v>33</v>
      </c>
      <c r="C356" s="41" t="s">
        <v>23</v>
      </c>
      <c r="D356" s="41" t="s">
        <v>44</v>
      </c>
      <c r="E356" s="41" t="s">
        <v>25</v>
      </c>
      <c r="F356" s="41" t="s">
        <v>25</v>
      </c>
      <c r="G356" s="41" t="s">
        <v>25</v>
      </c>
      <c r="H356" s="41" t="s">
        <v>25</v>
      </c>
      <c r="I356" s="60">
        <v>44440</v>
      </c>
      <c r="J356" s="61">
        <f>EFEITO!$J$356*EFEITO!$Y$356</f>
        <v>0</v>
      </c>
      <c r="K356" s="61">
        <f ca="1">EFEITO!$L$356*EFEITO!$Z$356</f>
        <v>9869.4685189324991</v>
      </c>
      <c r="L356" s="61">
        <f>EFEITO!$N$356*EFEITO!$AA$356</f>
        <v>4207.7045272972755</v>
      </c>
      <c r="M356" s="61">
        <f>$J$356-EFEITO!$K$356*EFEITO!$Y$356</f>
        <v>0</v>
      </c>
      <c r="N356" s="61">
        <f ca="1">$K$356-EFEITO!$M$356*EFEITO!$Z$356</f>
        <v>0</v>
      </c>
      <c r="O356" s="61">
        <f>$L$356-EFEITO!$O$356*EFEITO!$AA$356</f>
        <v>0</v>
      </c>
      <c r="P356" s="45"/>
      <c r="Q356" s="45"/>
      <c r="R356" s="45"/>
      <c r="S356" s="45"/>
      <c r="T356" s="45"/>
      <c r="U356" s="45"/>
      <c r="V356" s="45"/>
      <c r="W356" s="45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41" t="s">
        <v>21</v>
      </c>
      <c r="B357" s="41" t="s">
        <v>33</v>
      </c>
      <c r="C357" s="41" t="s">
        <v>23</v>
      </c>
      <c r="D357" s="41" t="s">
        <v>44</v>
      </c>
      <c r="E357" s="41" t="s">
        <v>25</v>
      </c>
      <c r="F357" s="41" t="s">
        <v>25</v>
      </c>
      <c r="G357" s="41" t="s">
        <v>25</v>
      </c>
      <c r="H357" s="41" t="s">
        <v>25</v>
      </c>
      <c r="I357" s="60">
        <v>44470</v>
      </c>
      <c r="J357" s="61">
        <f>EFEITO!$J$357*EFEITO!$Y$357</f>
        <v>0</v>
      </c>
      <c r="K357" s="61">
        <f ca="1">EFEITO!$L$357*EFEITO!$Z$357</f>
        <v>11257.439533125285</v>
      </c>
      <c r="L357" s="61">
        <f>EFEITO!$N$357*EFEITO!$AA$357</f>
        <v>4799.4458058649343</v>
      </c>
      <c r="M357" s="61">
        <f>$J$357-EFEITO!$K$357*EFEITO!$Y$357</f>
        <v>0</v>
      </c>
      <c r="N357" s="61">
        <f ca="1">$K$357-EFEITO!$M$357*EFEITO!$Z$357</f>
        <v>0</v>
      </c>
      <c r="O357" s="61">
        <f>$L$357-EFEITO!$O$357*EFEITO!$AA$357</f>
        <v>0</v>
      </c>
      <c r="P357" s="45"/>
      <c r="Q357" s="45"/>
      <c r="R357" s="45"/>
      <c r="S357" s="45"/>
      <c r="T357" s="45"/>
      <c r="U357" s="45"/>
      <c r="V357" s="45"/>
      <c r="W357" s="45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41" t="s">
        <v>21</v>
      </c>
      <c r="B358" s="41" t="s">
        <v>33</v>
      </c>
      <c r="C358" s="41" t="s">
        <v>23</v>
      </c>
      <c r="D358" s="41" t="s">
        <v>44</v>
      </c>
      <c r="E358" s="41" t="s">
        <v>25</v>
      </c>
      <c r="F358" s="41" t="s">
        <v>25</v>
      </c>
      <c r="G358" s="41" t="s">
        <v>25</v>
      </c>
      <c r="H358" s="41" t="s">
        <v>25</v>
      </c>
      <c r="I358" s="60">
        <v>44501</v>
      </c>
      <c r="J358" s="61">
        <f>EFEITO!$J$358*EFEITO!$Y$358</f>
        <v>0</v>
      </c>
      <c r="K358" s="61">
        <f ca="1">EFEITO!$L$358*EFEITO!$Z$358</f>
        <v>12311.634431897277</v>
      </c>
      <c r="L358" s="61">
        <f>EFEITO!$N$358*EFEITO!$AA$358</f>
        <v>5248.8864864555417</v>
      </c>
      <c r="M358" s="61">
        <f>$J$358-EFEITO!$K$358*EFEITO!$Y$358</f>
        <v>0</v>
      </c>
      <c r="N358" s="61">
        <f ca="1">$K$358-EFEITO!$M$358*EFEITO!$Z$358</f>
        <v>0</v>
      </c>
      <c r="O358" s="61">
        <f>$L$358-EFEITO!$O$358*EFEITO!$AA$358</f>
        <v>0</v>
      </c>
      <c r="P358" s="45"/>
      <c r="Q358" s="45"/>
      <c r="R358" s="45"/>
      <c r="S358" s="45"/>
      <c r="T358" s="45"/>
      <c r="U358" s="45"/>
      <c r="V358" s="45"/>
      <c r="W358" s="45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41" t="s">
        <v>21</v>
      </c>
      <c r="B359" s="41" t="s">
        <v>33</v>
      </c>
      <c r="C359" s="41" t="s">
        <v>23</v>
      </c>
      <c r="D359" s="41" t="s">
        <v>44</v>
      </c>
      <c r="E359" s="41" t="s">
        <v>25</v>
      </c>
      <c r="F359" s="41" t="s">
        <v>25</v>
      </c>
      <c r="G359" s="41" t="s">
        <v>25</v>
      </c>
      <c r="H359" s="41" t="s">
        <v>25</v>
      </c>
      <c r="I359" s="60">
        <v>44531</v>
      </c>
      <c r="J359" s="61">
        <f>EFEITO!$J$359*EFEITO!$Y$359</f>
        <v>0</v>
      </c>
      <c r="K359" s="61">
        <f ca="1">EFEITO!$L$359*EFEITO!$Z$359</f>
        <v>14987.66763647233</v>
      </c>
      <c r="L359" s="61">
        <f>EFEITO!$N$359*EFEITO!$AA$359</f>
        <v>6389.7743679547766</v>
      </c>
      <c r="M359" s="61">
        <f>$J$359-EFEITO!$K$359*EFEITO!$Y$359</f>
        <v>0</v>
      </c>
      <c r="N359" s="61">
        <f ca="1">$K$359-EFEITO!$M$359*EFEITO!$Z$359</f>
        <v>0</v>
      </c>
      <c r="O359" s="61">
        <f>$L$359-EFEITO!$O$359*EFEITO!$AA$359</f>
        <v>0</v>
      </c>
      <c r="P359" s="45"/>
      <c r="Q359" s="45"/>
      <c r="R359" s="45"/>
      <c r="S359" s="45"/>
      <c r="T359" s="45"/>
      <c r="U359" s="45"/>
      <c r="V359" s="45"/>
      <c r="W359" s="45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41" t="s">
        <v>21</v>
      </c>
      <c r="B360" s="41" t="s">
        <v>33</v>
      </c>
      <c r="C360" s="41" t="s">
        <v>23</v>
      </c>
      <c r="D360" s="41" t="s">
        <v>44</v>
      </c>
      <c r="E360" s="41" t="s">
        <v>25</v>
      </c>
      <c r="F360" s="41" t="s">
        <v>25</v>
      </c>
      <c r="G360" s="41" t="s">
        <v>25</v>
      </c>
      <c r="H360" s="41" t="s">
        <v>25</v>
      </c>
      <c r="I360" s="60">
        <v>44562</v>
      </c>
      <c r="J360" s="61">
        <f>EFEITO!$J$360*EFEITO!$Y$360</f>
        <v>0</v>
      </c>
      <c r="K360" s="61">
        <f ca="1">EFEITO!$L$360*EFEITO!$Z$360</f>
        <v>10516.859776359413</v>
      </c>
      <c r="L360" s="61">
        <f>EFEITO!$N$360*EFEITO!$AA$360</f>
        <v>4483.7103851185366</v>
      </c>
      <c r="M360" s="61">
        <f>$J$360-EFEITO!$K$360*EFEITO!$Y$360</f>
        <v>0</v>
      </c>
      <c r="N360" s="61">
        <f ca="1">$K$360-EFEITO!$M$360*EFEITO!$Z$360</f>
        <v>0</v>
      </c>
      <c r="O360" s="61">
        <f>$L$360-EFEITO!$O$360*EFEITO!$AA$360</f>
        <v>0</v>
      </c>
      <c r="P360" s="45"/>
      <c r="Q360" s="45"/>
      <c r="R360" s="45"/>
      <c r="S360" s="45"/>
      <c r="T360" s="45"/>
      <c r="U360" s="45"/>
      <c r="V360" s="45"/>
      <c r="W360" s="45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41" t="s">
        <v>21</v>
      </c>
      <c r="B361" s="41" t="s">
        <v>33</v>
      </c>
      <c r="C361" s="41" t="s">
        <v>23</v>
      </c>
      <c r="D361" s="41" t="s">
        <v>44</v>
      </c>
      <c r="E361" s="41" t="s">
        <v>25</v>
      </c>
      <c r="F361" s="41" t="s">
        <v>25</v>
      </c>
      <c r="G361" s="41" t="s">
        <v>25</v>
      </c>
      <c r="H361" s="41" t="s">
        <v>25</v>
      </c>
      <c r="I361" s="60">
        <v>44593</v>
      </c>
      <c r="J361" s="61">
        <f>EFEITO!$J$361*EFEITO!$Y$361</f>
        <v>0</v>
      </c>
      <c r="K361" s="61">
        <f ca="1">EFEITO!$L$361*EFEITO!$Z$361</f>
        <v>15807.099200371167</v>
      </c>
      <c r="L361" s="61">
        <f>EFEITO!$N$361*EFEITO!$AA$361</f>
        <v>6739.127111176289</v>
      </c>
      <c r="M361" s="61">
        <f>$J$361-EFEITO!$K$361*EFEITO!$Y$361</f>
        <v>0</v>
      </c>
      <c r="N361" s="61">
        <f ca="1">$K$361-EFEITO!$M$361*EFEITO!$Z$361</f>
        <v>0</v>
      </c>
      <c r="O361" s="61">
        <f>$L$361-EFEITO!$O$361*EFEITO!$AA$361</f>
        <v>0</v>
      </c>
      <c r="P361" s="45"/>
      <c r="Q361" s="45"/>
      <c r="R361" s="45"/>
      <c r="S361" s="45"/>
      <c r="T361" s="45"/>
      <c r="U361" s="45"/>
      <c r="V361" s="45"/>
      <c r="W361" s="45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41" t="s">
        <v>21</v>
      </c>
      <c r="B362" s="41" t="s">
        <v>33</v>
      </c>
      <c r="C362" s="41" t="s">
        <v>23</v>
      </c>
      <c r="D362" s="41" t="s">
        <v>44</v>
      </c>
      <c r="E362" s="41" t="s">
        <v>25</v>
      </c>
      <c r="F362" s="41" t="s">
        <v>25</v>
      </c>
      <c r="G362" s="41" t="s">
        <v>25</v>
      </c>
      <c r="H362" s="41" t="s">
        <v>25</v>
      </c>
      <c r="I362" s="60">
        <v>44621</v>
      </c>
      <c r="J362" s="61">
        <f>EFEITO!$J$362*EFEITO!$Y$362</f>
        <v>0</v>
      </c>
      <c r="K362" s="61">
        <f ca="1">EFEITO!$L$362*EFEITO!$Z$362</f>
        <v>19955.77950748066</v>
      </c>
      <c r="L362" s="61">
        <f>EFEITO!$N$362*EFEITO!$AA$362</f>
        <v>8507.856691401119</v>
      </c>
      <c r="M362" s="61">
        <f>$J$362-EFEITO!$K$362*EFEITO!$Y$362</f>
        <v>0</v>
      </c>
      <c r="N362" s="61">
        <f ca="1">$K$362-EFEITO!$M$362*EFEITO!$Z$362</f>
        <v>0</v>
      </c>
      <c r="O362" s="61">
        <f>$L$362-EFEITO!$O$362*EFEITO!$AA$362</f>
        <v>0</v>
      </c>
      <c r="P362" s="45"/>
      <c r="Q362" s="45"/>
      <c r="R362" s="45"/>
      <c r="S362" s="45"/>
      <c r="T362" s="45"/>
      <c r="U362" s="45"/>
      <c r="V362" s="45"/>
      <c r="W362" s="45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41" t="s">
        <v>21</v>
      </c>
      <c r="B363" s="41" t="s">
        <v>33</v>
      </c>
      <c r="C363" s="41" t="s">
        <v>23</v>
      </c>
      <c r="D363" s="41" t="s">
        <v>44</v>
      </c>
      <c r="E363" s="41" t="s">
        <v>25</v>
      </c>
      <c r="F363" s="41" t="s">
        <v>25</v>
      </c>
      <c r="G363" s="41" t="s">
        <v>25</v>
      </c>
      <c r="H363" s="41" t="s">
        <v>25</v>
      </c>
      <c r="I363" s="60">
        <v>44652</v>
      </c>
      <c r="J363" s="61">
        <f>EFEITO!$J$363*EFEITO!$Y$363</f>
        <v>0</v>
      </c>
      <c r="K363" s="61">
        <f ca="1">EFEITO!$L$363*EFEITO!$Z$363</f>
        <v>14312.94705952774</v>
      </c>
      <c r="L363" s="61">
        <f>EFEITO!$N$363*EFEITO!$AA$363</f>
        <v>6102.1170517756618</v>
      </c>
      <c r="M363" s="61">
        <f>$J$363-EFEITO!$K$363*EFEITO!$Y$363</f>
        <v>0</v>
      </c>
      <c r="N363" s="61">
        <f ca="1">$K$363-EFEITO!$M$363*EFEITO!$Z$363</f>
        <v>0</v>
      </c>
      <c r="O363" s="61">
        <f>$L$363-EFEITO!$O$363*EFEITO!$AA$363</f>
        <v>0</v>
      </c>
      <c r="P363" s="45"/>
      <c r="Q363" s="45"/>
      <c r="R363" s="45"/>
      <c r="S363" s="45"/>
      <c r="T363" s="45"/>
      <c r="U363" s="45"/>
      <c r="V363" s="45"/>
      <c r="W363" s="45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41" t="s">
        <v>21</v>
      </c>
      <c r="B364" s="41" t="s">
        <v>33</v>
      </c>
      <c r="C364" s="41" t="s">
        <v>23</v>
      </c>
      <c r="D364" s="41" t="s">
        <v>44</v>
      </c>
      <c r="E364" s="41" t="s">
        <v>25</v>
      </c>
      <c r="F364" s="41" t="s">
        <v>25</v>
      </c>
      <c r="G364" s="41" t="s">
        <v>25</v>
      </c>
      <c r="H364" s="41" t="s">
        <v>25</v>
      </c>
      <c r="I364" s="60">
        <v>44682</v>
      </c>
      <c r="J364" s="61">
        <f>EFEITO!$J$364*EFEITO!$Y$364</f>
        <v>0</v>
      </c>
      <c r="K364" s="61">
        <f ca="1">EFEITO!$L$364*EFEITO!$Z$364</f>
        <v>11373.925157298987</v>
      </c>
      <c r="L364" s="61">
        <f>EFEITO!$N$364*EFEITO!$AA$364</f>
        <v>4849.1077595213555</v>
      </c>
      <c r="M364" s="61">
        <f>$J$364-EFEITO!$K$364*EFEITO!$Y$364</f>
        <v>0</v>
      </c>
      <c r="N364" s="61">
        <f ca="1">$K$364-EFEITO!$M$364*EFEITO!$Z$364</f>
        <v>0</v>
      </c>
      <c r="O364" s="61">
        <f>$L$364-EFEITO!$O$364*EFEITO!$AA$364</f>
        <v>0</v>
      </c>
      <c r="P364" s="45"/>
      <c r="Q364" s="45"/>
      <c r="R364" s="45"/>
      <c r="S364" s="45"/>
      <c r="T364" s="45"/>
      <c r="U364" s="45"/>
      <c r="V364" s="45"/>
      <c r="W364" s="45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41" t="s">
        <v>21</v>
      </c>
      <c r="B365" s="41" t="s">
        <v>33</v>
      </c>
      <c r="C365" s="41" t="s">
        <v>23</v>
      </c>
      <c r="D365" s="41" t="s">
        <v>44</v>
      </c>
      <c r="E365" s="41" t="s">
        <v>25</v>
      </c>
      <c r="F365" s="41" t="s">
        <v>25</v>
      </c>
      <c r="G365" s="41" t="s">
        <v>25</v>
      </c>
      <c r="H365" s="41" t="s">
        <v>25</v>
      </c>
      <c r="I365" s="60">
        <v>44713</v>
      </c>
      <c r="J365" s="61">
        <f>EFEITO!$J$365*EFEITO!$Y$365</f>
        <v>0</v>
      </c>
      <c r="K365" s="61">
        <f ca="1">EFEITO!$L$365*EFEITO!$Z$365</f>
        <v>12075.975053761251</v>
      </c>
      <c r="L365" s="61">
        <f>EFEITO!$N$365*EFEITO!$AA$365</f>
        <v>5148.4165340583213</v>
      </c>
      <c r="M365" s="61">
        <f>$J$365-EFEITO!$K$365*EFEITO!$Y$365</f>
        <v>0</v>
      </c>
      <c r="N365" s="61">
        <f ca="1">$K$365-EFEITO!$M$365*EFEITO!$Z$365</f>
        <v>0</v>
      </c>
      <c r="O365" s="61">
        <f>$L$365-EFEITO!$O$365*EFEITO!$AA$365</f>
        <v>0</v>
      </c>
      <c r="P365" s="45"/>
      <c r="Q365" s="45"/>
      <c r="R365" s="45"/>
      <c r="S365" s="45"/>
      <c r="T365" s="45"/>
      <c r="U365" s="45"/>
      <c r="V365" s="45"/>
      <c r="W365" s="45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41" t="s">
        <v>21</v>
      </c>
      <c r="B366" s="41" t="s">
        <v>33</v>
      </c>
      <c r="C366" s="41" t="s">
        <v>23</v>
      </c>
      <c r="D366" s="41" t="s">
        <v>44</v>
      </c>
      <c r="E366" s="41" t="s">
        <v>25</v>
      </c>
      <c r="F366" s="41" t="s">
        <v>25</v>
      </c>
      <c r="G366" s="41" t="s">
        <v>25</v>
      </c>
      <c r="H366" s="41" t="s">
        <v>25</v>
      </c>
      <c r="I366" s="60">
        <v>44743</v>
      </c>
      <c r="J366" s="61">
        <f>EFEITO!$J$366*EFEITO!$Y$366</f>
        <v>0</v>
      </c>
      <c r="K366" s="61">
        <f ca="1">EFEITO!$L$366*EFEITO!$Z$366</f>
        <v>12093.447897387307</v>
      </c>
      <c r="L366" s="61">
        <f>EFEITO!$N$366*EFEITO!$AA$366</f>
        <v>5155.8658271067843</v>
      </c>
      <c r="M366" s="61">
        <f>$J$366-EFEITO!$K$366*EFEITO!$Y$366</f>
        <v>0</v>
      </c>
      <c r="N366" s="61">
        <f ca="1">$K$366-EFEITO!$M$366*EFEITO!$Z$366</f>
        <v>0</v>
      </c>
      <c r="O366" s="61">
        <f>$L$366-EFEITO!$O$366*EFEITO!$AA$366</f>
        <v>0</v>
      </c>
      <c r="P366" s="45"/>
      <c r="Q366" s="45"/>
      <c r="R366" s="45"/>
      <c r="S366" s="45"/>
      <c r="T366" s="45"/>
      <c r="U366" s="45"/>
      <c r="V366" s="45"/>
      <c r="W366" s="45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41" t="s">
        <v>55</v>
      </c>
      <c r="B367" s="41" t="s">
        <v>33</v>
      </c>
      <c r="C367" s="41" t="s">
        <v>23</v>
      </c>
      <c r="D367" s="41" t="s">
        <v>44</v>
      </c>
      <c r="E367" s="41" t="s">
        <v>25</v>
      </c>
      <c r="F367" s="41" t="s">
        <v>25</v>
      </c>
      <c r="G367" s="41" t="s">
        <v>25</v>
      </c>
      <c r="H367" s="41" t="s">
        <v>25</v>
      </c>
      <c r="I367" s="60">
        <v>44774</v>
      </c>
      <c r="J367" s="61">
        <f>EFEITO!$J$367*EFEITO!$Y$367</f>
        <v>0</v>
      </c>
      <c r="K367" s="61">
        <f ca="1">EFEITO!$L$367*EFEITO!$Z$367</f>
        <v>12093.447897387307</v>
      </c>
      <c r="L367" s="61">
        <f>EFEITO!$N$367*EFEITO!$AA$367</f>
        <v>5155.8658271067843</v>
      </c>
      <c r="M367" s="61">
        <f>$J$367-EFEITO!$K$367*EFEITO!$Y$367</f>
        <v>0</v>
      </c>
      <c r="N367" s="61">
        <f ca="1">$K$367-EFEITO!$M$367*EFEITO!$Z$367</f>
        <v>0</v>
      </c>
      <c r="O367" s="61">
        <f>$L$367-EFEITO!$O$367*EFEITO!$AA$367</f>
        <v>0</v>
      </c>
      <c r="P367" s="45"/>
      <c r="Q367" s="45"/>
      <c r="R367" s="45"/>
      <c r="S367" s="45"/>
      <c r="T367" s="45"/>
      <c r="U367" s="45"/>
      <c r="V367" s="45"/>
      <c r="W367" s="45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41" t="s">
        <v>21</v>
      </c>
      <c r="B368" s="41" t="s">
        <v>33</v>
      </c>
      <c r="C368" s="41" t="s">
        <v>23</v>
      </c>
      <c r="D368" s="41" t="s">
        <v>48</v>
      </c>
      <c r="E368" s="41" t="s">
        <v>49</v>
      </c>
      <c r="F368" s="41" t="s">
        <v>25</v>
      </c>
      <c r="G368" s="41" t="s">
        <v>25</v>
      </c>
      <c r="H368" s="41" t="s">
        <v>25</v>
      </c>
      <c r="I368" s="60">
        <v>44440</v>
      </c>
      <c r="J368" s="61">
        <f>EFEITO!$J$368*EFEITO!$Y$367</f>
        <v>0</v>
      </c>
      <c r="K368" s="61">
        <f ca="1">EFEITO!$L$368*EFEITO!$Z$367</f>
        <v>8879.3407134560439</v>
      </c>
      <c r="L368" s="61">
        <f>EFEITO!$N$368*EFEITO!$AA$367</f>
        <v>3785.5779212176994</v>
      </c>
      <c r="M368" s="61">
        <f>$J$368-EFEITO!$K$368*EFEITO!$Y$368</f>
        <v>0</v>
      </c>
      <c r="N368" s="61">
        <f ca="1">$K$368-EFEITO!$M$368*EFEITO!$Z$368</f>
        <v>266.38022140368048</v>
      </c>
      <c r="O368" s="61">
        <f>$L$368-EFEITO!$O$368*EFEITO!$AA$368</f>
        <v>113.56733763653119</v>
      </c>
      <c r="P368" s="45"/>
      <c r="Q368" s="45"/>
      <c r="R368" s="45"/>
      <c r="S368" s="45"/>
      <c r="T368" s="45"/>
      <c r="U368" s="45"/>
      <c r="V368" s="45"/>
      <c r="W368" s="45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41" t="s">
        <v>21</v>
      </c>
      <c r="B369" s="41" t="s">
        <v>33</v>
      </c>
      <c r="C369" s="41" t="s">
        <v>23</v>
      </c>
      <c r="D369" s="41" t="s">
        <v>48</v>
      </c>
      <c r="E369" s="41" t="s">
        <v>49</v>
      </c>
      <c r="F369" s="41" t="s">
        <v>25</v>
      </c>
      <c r="G369" s="41" t="s">
        <v>25</v>
      </c>
      <c r="H369" s="41" t="s">
        <v>25</v>
      </c>
      <c r="I369" s="60">
        <v>44470</v>
      </c>
      <c r="J369" s="61">
        <f>EFEITO!$J$369*EFEITO!$Y$367</f>
        <v>0</v>
      </c>
      <c r="K369" s="61">
        <f ca="1">EFEITO!$L$369*EFEITO!$Z$367</f>
        <v>10039.716738878677</v>
      </c>
      <c r="L369" s="61">
        <f>EFEITO!$N$369*EFEITO!$AA$367</f>
        <v>4280.2873826412751</v>
      </c>
      <c r="M369" s="61">
        <f>$J$369-EFEITO!$K$369*EFEITO!$Y$369</f>
        <v>0</v>
      </c>
      <c r="N369" s="61">
        <f ca="1">$K$369-EFEITO!$M$369*EFEITO!$Z$369</f>
        <v>301.19150216635899</v>
      </c>
      <c r="O369" s="61">
        <f>$L$369-EFEITO!$O$369*EFEITO!$AA$369</f>
        <v>128.40862147923872</v>
      </c>
      <c r="P369" s="45"/>
      <c r="Q369" s="45"/>
      <c r="R369" s="45"/>
      <c r="S369" s="45"/>
      <c r="T369" s="45"/>
      <c r="U369" s="45"/>
      <c r="V369" s="45"/>
      <c r="W369" s="45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41" t="s">
        <v>21</v>
      </c>
      <c r="B370" s="41" t="s">
        <v>33</v>
      </c>
      <c r="C370" s="41" t="s">
        <v>23</v>
      </c>
      <c r="D370" s="41" t="s">
        <v>48</v>
      </c>
      <c r="E370" s="41" t="s">
        <v>49</v>
      </c>
      <c r="F370" s="41" t="s">
        <v>25</v>
      </c>
      <c r="G370" s="41" t="s">
        <v>25</v>
      </c>
      <c r="H370" s="41" t="s">
        <v>25</v>
      </c>
      <c r="I370" s="60">
        <v>44501</v>
      </c>
      <c r="J370" s="61">
        <f>EFEITO!$J$370*EFEITO!$Y$367</f>
        <v>0</v>
      </c>
      <c r="K370" s="61">
        <f ca="1">EFEITO!$L$370*EFEITO!$Z$367</f>
        <v>9105.5916373318869</v>
      </c>
      <c r="L370" s="61">
        <f>EFEITO!$N$370*EFEITO!$AA$367</f>
        <v>3882.0367158195941</v>
      </c>
      <c r="M370" s="61">
        <f>$J$370-EFEITO!$K$370*EFEITO!$Y$370</f>
        <v>0</v>
      </c>
      <c r="N370" s="61">
        <f ca="1">$K$370-EFEITO!$M$370*EFEITO!$Z$370</f>
        <v>273.16774911995708</v>
      </c>
      <c r="O370" s="61">
        <f>$L$370-EFEITO!$O$370*EFEITO!$AA$370</f>
        <v>116.4611014745883</v>
      </c>
      <c r="P370" s="45"/>
      <c r="Q370" s="45"/>
      <c r="R370" s="45"/>
      <c r="S370" s="45"/>
      <c r="T370" s="45"/>
      <c r="U370" s="45"/>
      <c r="V370" s="45"/>
      <c r="W370" s="45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41" t="s">
        <v>21</v>
      </c>
      <c r="B371" s="41" t="s">
        <v>33</v>
      </c>
      <c r="C371" s="41" t="s">
        <v>23</v>
      </c>
      <c r="D371" s="41" t="s">
        <v>48</v>
      </c>
      <c r="E371" s="41" t="s">
        <v>49</v>
      </c>
      <c r="F371" s="41" t="s">
        <v>25</v>
      </c>
      <c r="G371" s="41" t="s">
        <v>25</v>
      </c>
      <c r="H371" s="41" t="s">
        <v>25</v>
      </c>
      <c r="I371" s="60">
        <v>44531</v>
      </c>
      <c r="J371" s="61">
        <f>EFEITO!$J$371*EFEITO!$Y$367</f>
        <v>0</v>
      </c>
      <c r="K371" s="61">
        <f ca="1">EFEITO!$L$371*EFEITO!$Z$367</f>
        <v>10113.640308065835</v>
      </c>
      <c r="L371" s="61">
        <f>EFEITO!$N$371*EFEITO!$AA$367</f>
        <v>4311.8036224616962</v>
      </c>
      <c r="M371" s="61">
        <f>$J$371-EFEITO!$K$371*EFEITO!$Y$371</f>
        <v>0</v>
      </c>
      <c r="N371" s="61">
        <f ca="1">$K$371-EFEITO!$M$371*EFEITO!$Z$371</f>
        <v>303.40920924197599</v>
      </c>
      <c r="O371" s="61">
        <f>$L$371-EFEITO!$O$371*EFEITO!$AA$371</f>
        <v>129.35410867385144</v>
      </c>
      <c r="P371" s="45"/>
      <c r="Q371" s="45"/>
      <c r="R371" s="45"/>
      <c r="S371" s="45"/>
      <c r="T371" s="45"/>
      <c r="U371" s="45"/>
      <c r="V371" s="45"/>
      <c r="W371" s="45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41" t="s">
        <v>21</v>
      </c>
      <c r="B372" s="41" t="s">
        <v>33</v>
      </c>
      <c r="C372" s="41" t="s">
        <v>23</v>
      </c>
      <c r="D372" s="41" t="s">
        <v>48</v>
      </c>
      <c r="E372" s="41" t="s">
        <v>49</v>
      </c>
      <c r="F372" s="41" t="s">
        <v>25</v>
      </c>
      <c r="G372" s="41" t="s">
        <v>25</v>
      </c>
      <c r="H372" s="41" t="s">
        <v>25</v>
      </c>
      <c r="I372" s="60">
        <v>44562</v>
      </c>
      <c r="J372" s="61">
        <f>EFEITO!$J$372*EFEITO!$Y$367</f>
        <v>0</v>
      </c>
      <c r="K372" s="61">
        <f ca="1">EFEITO!$L$372*EFEITO!$Z$367</f>
        <v>7782.5837596975098</v>
      </c>
      <c r="L372" s="61">
        <f>EFEITO!$N$372*EFEITO!$AA$367</f>
        <v>3317.9915267910919</v>
      </c>
      <c r="M372" s="61">
        <f>$J$372-EFEITO!$K$372*EFEITO!$Y$372</f>
        <v>0</v>
      </c>
      <c r="N372" s="61">
        <f ca="1">$K$372-EFEITO!$M$372*EFEITO!$Z$372</f>
        <v>233.47751279092518</v>
      </c>
      <c r="O372" s="61">
        <f>$L$372-EFEITO!$O$372*EFEITO!$AA$372</f>
        <v>99.539745803732785</v>
      </c>
      <c r="P372" s="45"/>
      <c r="Q372" s="45"/>
      <c r="R372" s="45"/>
      <c r="S372" s="45"/>
      <c r="T372" s="45"/>
      <c r="U372" s="45"/>
      <c r="V372" s="45"/>
      <c r="W372" s="45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41" t="s">
        <v>21</v>
      </c>
      <c r="B373" s="41" t="s">
        <v>33</v>
      </c>
      <c r="C373" s="41" t="s">
        <v>23</v>
      </c>
      <c r="D373" s="41" t="s">
        <v>48</v>
      </c>
      <c r="E373" s="41" t="s">
        <v>49</v>
      </c>
      <c r="F373" s="41" t="s">
        <v>25</v>
      </c>
      <c r="G373" s="41" t="s">
        <v>25</v>
      </c>
      <c r="H373" s="41" t="s">
        <v>25</v>
      </c>
      <c r="I373" s="60">
        <v>44593</v>
      </c>
      <c r="J373" s="61">
        <f>EFEITO!$J$373*EFEITO!$Y$367</f>
        <v>0</v>
      </c>
      <c r="K373" s="61">
        <f ca="1">EFEITO!$L$373*EFEITO!$Z$367</f>
        <v>9061.2374958195942</v>
      </c>
      <c r="L373" s="61">
        <f>EFEITO!$N$373*EFEITO!$AA$367</f>
        <v>3863.1269719273414</v>
      </c>
      <c r="M373" s="61">
        <f>$J$373-EFEITO!$K$373*EFEITO!$Y$373</f>
        <v>0</v>
      </c>
      <c r="N373" s="61">
        <f ca="1">$K$373-EFEITO!$M$373*EFEITO!$Z$373</f>
        <v>271.83712487458797</v>
      </c>
      <c r="O373" s="61">
        <f>$L$373-EFEITO!$O$373*EFEITO!$AA$373</f>
        <v>115.89380915782067</v>
      </c>
      <c r="P373" s="45"/>
      <c r="Q373" s="45"/>
      <c r="R373" s="45"/>
      <c r="S373" s="45"/>
      <c r="T373" s="45"/>
      <c r="U373" s="45"/>
      <c r="V373" s="45"/>
      <c r="W373" s="45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41" t="s">
        <v>21</v>
      </c>
      <c r="B374" s="41" t="s">
        <v>33</v>
      </c>
      <c r="C374" s="41" t="s">
        <v>23</v>
      </c>
      <c r="D374" s="41" t="s">
        <v>48</v>
      </c>
      <c r="E374" s="41" t="s">
        <v>49</v>
      </c>
      <c r="F374" s="41" t="s">
        <v>25</v>
      </c>
      <c r="G374" s="41" t="s">
        <v>25</v>
      </c>
      <c r="H374" s="41" t="s">
        <v>25</v>
      </c>
      <c r="I374" s="60">
        <v>44621</v>
      </c>
      <c r="J374" s="61">
        <f>EFEITO!$J$374*EFEITO!$Y$367</f>
        <v>0</v>
      </c>
      <c r="K374" s="61">
        <f ca="1">EFEITO!$L$374*EFEITO!$Z$367</f>
        <v>7784.3758462232599</v>
      </c>
      <c r="L374" s="61">
        <f>EFEITO!$N$374*EFEITO!$AA$367</f>
        <v>3318.7555568473449</v>
      </c>
      <c r="M374" s="61">
        <f>$J$374-EFEITO!$K$374*EFEITO!$Y$374</f>
        <v>0</v>
      </c>
      <c r="N374" s="61">
        <f ca="1">$K$374-EFEITO!$M$374*EFEITO!$Z$374</f>
        <v>233.53127538669833</v>
      </c>
      <c r="O374" s="61">
        <f>$L$374-EFEITO!$O$374*EFEITO!$AA$374</f>
        <v>99.562666705420725</v>
      </c>
      <c r="P374" s="45"/>
      <c r="Q374" s="45"/>
      <c r="R374" s="45"/>
      <c r="S374" s="45"/>
      <c r="T374" s="45"/>
      <c r="U374" s="45"/>
      <c r="V374" s="45"/>
      <c r="W374" s="45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41" t="s">
        <v>21</v>
      </c>
      <c r="B375" s="41" t="s">
        <v>33</v>
      </c>
      <c r="C375" s="41" t="s">
        <v>23</v>
      </c>
      <c r="D375" s="41" t="s">
        <v>48</v>
      </c>
      <c r="E375" s="41" t="s">
        <v>49</v>
      </c>
      <c r="F375" s="41" t="s">
        <v>25</v>
      </c>
      <c r="G375" s="41" t="s">
        <v>25</v>
      </c>
      <c r="H375" s="41" t="s">
        <v>25</v>
      </c>
      <c r="I375" s="60">
        <v>44652</v>
      </c>
      <c r="J375" s="61">
        <f>EFEITO!$J$375*EFEITO!$Y$367</f>
        <v>0</v>
      </c>
      <c r="K375" s="61">
        <f ca="1">EFEITO!$L$375*EFEITO!$Z$367</f>
        <v>8630.6887080083379</v>
      </c>
      <c r="L375" s="61">
        <f>EFEITO!$N$375*EFEITO!$AA$367</f>
        <v>3679.5687509126478</v>
      </c>
      <c r="M375" s="61">
        <f>$J$375-EFEITO!$K$375*EFEITO!$Y$375</f>
        <v>0</v>
      </c>
      <c r="N375" s="61">
        <f ca="1">$K$375-EFEITO!$M$375*EFEITO!$Z$375</f>
        <v>258.92066124025041</v>
      </c>
      <c r="O375" s="61">
        <f>$L$375-EFEITO!$O$375*EFEITO!$AA$375</f>
        <v>110.38706252737984</v>
      </c>
      <c r="P375" s="45"/>
      <c r="Q375" s="45"/>
      <c r="R375" s="45"/>
      <c r="S375" s="45"/>
      <c r="T375" s="45"/>
      <c r="U375" s="45"/>
      <c r="V375" s="45"/>
      <c r="W375" s="45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41" t="s">
        <v>21</v>
      </c>
      <c r="B376" s="41" t="s">
        <v>33</v>
      </c>
      <c r="C376" s="41" t="s">
        <v>23</v>
      </c>
      <c r="D376" s="41" t="s">
        <v>48</v>
      </c>
      <c r="E376" s="41" t="s">
        <v>49</v>
      </c>
      <c r="F376" s="41" t="s">
        <v>25</v>
      </c>
      <c r="G376" s="41" t="s">
        <v>25</v>
      </c>
      <c r="H376" s="41" t="s">
        <v>25</v>
      </c>
      <c r="I376" s="60">
        <v>44682</v>
      </c>
      <c r="J376" s="61">
        <f>EFEITO!$J$376*EFEITO!$Y$367</f>
        <v>0</v>
      </c>
      <c r="K376" s="61">
        <f ca="1">EFEITO!$L$376*EFEITO!$Z$367</f>
        <v>8369.9401185118222</v>
      </c>
      <c r="L376" s="61">
        <f>EFEITO!$N$376*EFEITO!$AA$367</f>
        <v>3568.4023777278903</v>
      </c>
      <c r="M376" s="61">
        <f>$J$376-EFEITO!$K$376*EFEITO!$Y$376</f>
        <v>0</v>
      </c>
      <c r="N376" s="61">
        <f ca="1">$K$376-EFEITO!$M$376*EFEITO!$Z$376</f>
        <v>251.0982035553543</v>
      </c>
      <c r="O376" s="61">
        <f>$L$376-EFEITO!$O$376*EFEITO!$AA$376</f>
        <v>107.05207133183694</v>
      </c>
      <c r="P376" s="45"/>
      <c r="Q376" s="45"/>
      <c r="R376" s="45"/>
      <c r="S376" s="45"/>
      <c r="T376" s="45"/>
      <c r="U376" s="45"/>
      <c r="V376" s="45"/>
      <c r="W376" s="45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41" t="s">
        <v>21</v>
      </c>
      <c r="B377" s="41" t="s">
        <v>33</v>
      </c>
      <c r="C377" s="41" t="s">
        <v>23</v>
      </c>
      <c r="D377" s="41" t="s">
        <v>48</v>
      </c>
      <c r="E377" s="41" t="s">
        <v>49</v>
      </c>
      <c r="F377" s="41" t="s">
        <v>25</v>
      </c>
      <c r="G377" s="41" t="s">
        <v>25</v>
      </c>
      <c r="H377" s="41" t="s">
        <v>25</v>
      </c>
      <c r="I377" s="60">
        <v>44713</v>
      </c>
      <c r="J377" s="61">
        <f>EFEITO!$J$377*EFEITO!$Y$367</f>
        <v>0</v>
      </c>
      <c r="K377" s="61">
        <f ca="1">EFEITO!$L$377*EFEITO!$Z$367</f>
        <v>9101.5594426489515</v>
      </c>
      <c r="L377" s="61">
        <f>EFEITO!$N$377*EFEITO!$AA$367</f>
        <v>3880.3176481930254</v>
      </c>
      <c r="M377" s="61">
        <f>$J$377-EFEITO!$K$377*EFEITO!$Y$377</f>
        <v>0</v>
      </c>
      <c r="N377" s="61">
        <f ca="1">$K$377-EFEITO!$M$377*EFEITO!$Z$377</f>
        <v>273.04678327946931</v>
      </c>
      <c r="O377" s="61">
        <f>$L$377-EFEITO!$O$377*EFEITO!$AA$377</f>
        <v>116.40952944579112</v>
      </c>
      <c r="P377" s="45"/>
      <c r="Q377" s="45"/>
      <c r="R377" s="45"/>
      <c r="S377" s="45"/>
      <c r="T377" s="45"/>
      <c r="U377" s="45"/>
      <c r="V377" s="45"/>
      <c r="W377" s="45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41" t="s">
        <v>21</v>
      </c>
      <c r="B378" s="41" t="s">
        <v>33</v>
      </c>
      <c r="C378" s="41" t="s">
        <v>23</v>
      </c>
      <c r="D378" s="41" t="s">
        <v>48</v>
      </c>
      <c r="E378" s="41" t="s">
        <v>49</v>
      </c>
      <c r="F378" s="41" t="s">
        <v>25</v>
      </c>
      <c r="G378" s="41" t="s">
        <v>25</v>
      </c>
      <c r="H378" s="41" t="s">
        <v>25</v>
      </c>
      <c r="I378" s="60">
        <v>44743</v>
      </c>
      <c r="J378" s="61">
        <f>EFEITO!$J$378*EFEITO!$Y$367</f>
        <v>0</v>
      </c>
      <c r="K378" s="61">
        <f ca="1">EFEITO!$L$378*EFEITO!$Z$367</f>
        <v>8651.7457246858921</v>
      </c>
      <c r="L378" s="61">
        <f>EFEITO!$N$378*EFEITO!$AA$367</f>
        <v>3688.5461040736159</v>
      </c>
      <c r="M378" s="61">
        <f>$J$378-EFEITO!$K$378*EFEITO!$Y$378</f>
        <v>0</v>
      </c>
      <c r="N378" s="61">
        <f ca="1">$K$378-EFEITO!$M$378*EFEITO!$Z$378</f>
        <v>259.55237174057766</v>
      </c>
      <c r="O378" s="61">
        <f>$L$378-EFEITO!$O$378*EFEITO!$AA$378</f>
        <v>110.65638312220881</v>
      </c>
      <c r="P378" s="45"/>
      <c r="Q378" s="45"/>
      <c r="R378" s="45"/>
      <c r="S378" s="45"/>
      <c r="T378" s="45"/>
      <c r="U378" s="45"/>
      <c r="V378" s="45"/>
      <c r="W378" s="45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41" t="s">
        <v>55</v>
      </c>
      <c r="B379" s="41" t="s">
        <v>33</v>
      </c>
      <c r="C379" s="41" t="s">
        <v>23</v>
      </c>
      <c r="D379" s="41" t="s">
        <v>48</v>
      </c>
      <c r="E379" s="41" t="s">
        <v>49</v>
      </c>
      <c r="F379" s="41" t="s">
        <v>25</v>
      </c>
      <c r="G379" s="41" t="s">
        <v>25</v>
      </c>
      <c r="H379" s="41" t="s">
        <v>25</v>
      </c>
      <c r="I379" s="60">
        <v>44774</v>
      </c>
      <c r="J379" s="61">
        <f>EFEITO!$J$379*EFEITO!$Y$367</f>
        <v>0</v>
      </c>
      <c r="K379" s="61">
        <f ca="1">EFEITO!$L$379*EFEITO!$Z$367</f>
        <v>8651.7457246858921</v>
      </c>
      <c r="L379" s="61">
        <f>EFEITO!$N$379*EFEITO!$AA$367</f>
        <v>3688.5461040736159</v>
      </c>
      <c r="M379" s="61">
        <f>$J$379-EFEITO!$K$379*EFEITO!$Y$379</f>
        <v>0</v>
      </c>
      <c r="N379" s="61">
        <f ca="1">$K$379-EFEITO!$M$379*EFEITO!$Z$379</f>
        <v>259.55237174057766</v>
      </c>
      <c r="O379" s="61">
        <f>$L$379-EFEITO!$O$379*EFEITO!$AA$379</f>
        <v>110.65638312220881</v>
      </c>
      <c r="P379" s="45"/>
      <c r="Q379" s="45"/>
      <c r="R379" s="45"/>
      <c r="S379" s="45"/>
      <c r="T379" s="45"/>
      <c r="U379" s="45"/>
      <c r="V379" s="45"/>
      <c r="W379" s="45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41" t="s">
        <v>21</v>
      </c>
      <c r="B380" s="41" t="s">
        <v>45</v>
      </c>
      <c r="C380" s="41" t="s">
        <v>23</v>
      </c>
      <c r="D380" s="41" t="s">
        <v>46</v>
      </c>
      <c r="E380" s="41" t="s">
        <v>47</v>
      </c>
      <c r="F380" s="41" t="s">
        <v>25</v>
      </c>
      <c r="G380" s="41" t="s">
        <v>25</v>
      </c>
      <c r="H380" s="41" t="s">
        <v>25</v>
      </c>
      <c r="I380" s="60">
        <v>44440</v>
      </c>
      <c r="J380" s="61">
        <f>EFEITO!$J$380*EFEITO!$Y$380</f>
        <v>0</v>
      </c>
      <c r="K380" s="61">
        <f ca="1">EFEITO!$L$380*EFEITO!$Z$380</f>
        <v>23849.468303057605</v>
      </c>
      <c r="L380" s="61">
        <f>EFEITO!$N$380*EFEITO!$AA$380</f>
        <v>10167.874344996904</v>
      </c>
      <c r="M380" s="61">
        <f>$J$380-EFEITO!$K$380*EFEITO!$Y$380</f>
        <v>0</v>
      </c>
      <c r="N380" s="61">
        <f ca="1">$K$380-EFEITO!$M$380*EFEITO!$Z$380</f>
        <v>0</v>
      </c>
      <c r="O380" s="61">
        <f>$L$380-EFEITO!$O$380*EFEITO!$AA$380</f>
        <v>0</v>
      </c>
      <c r="P380" s="45"/>
      <c r="Q380" s="45"/>
      <c r="R380" s="45"/>
      <c r="S380" s="45"/>
      <c r="T380" s="45"/>
      <c r="U380" s="45"/>
      <c r="V380" s="45"/>
      <c r="W380" s="45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41" t="s">
        <v>21</v>
      </c>
      <c r="B381" s="41" t="s">
        <v>45</v>
      </c>
      <c r="C381" s="41" t="s">
        <v>23</v>
      </c>
      <c r="D381" s="41" t="s">
        <v>46</v>
      </c>
      <c r="E381" s="41" t="s">
        <v>47</v>
      </c>
      <c r="F381" s="41" t="s">
        <v>25</v>
      </c>
      <c r="G381" s="41" t="s">
        <v>25</v>
      </c>
      <c r="H381" s="41" t="s">
        <v>25</v>
      </c>
      <c r="I381" s="60">
        <v>44470</v>
      </c>
      <c r="J381" s="61">
        <f>EFEITO!$J$381*EFEITO!$Y$381</f>
        <v>0</v>
      </c>
      <c r="K381" s="61">
        <f ca="1">EFEITO!$L$381*EFEITO!$Z$381</f>
        <v>24437.160678095497</v>
      </c>
      <c r="L381" s="61">
        <f>EFEITO!$N$381*EFEITO!$AA$381</f>
        <v>10418.428451569249</v>
      </c>
      <c r="M381" s="61">
        <f>$J$381-EFEITO!$K$381*EFEITO!$Y$381</f>
        <v>0</v>
      </c>
      <c r="N381" s="61">
        <f ca="1">$K$381-EFEITO!$M$381*EFEITO!$Z$381</f>
        <v>0</v>
      </c>
      <c r="O381" s="61">
        <f>$L$381-EFEITO!$O$381*EFEITO!$AA$381</f>
        <v>0</v>
      </c>
      <c r="P381" s="45"/>
      <c r="Q381" s="45"/>
      <c r="R381" s="45"/>
      <c r="S381" s="45"/>
      <c r="T381" s="45"/>
      <c r="U381" s="45"/>
      <c r="V381" s="45"/>
      <c r="W381" s="45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41" t="s">
        <v>21</v>
      </c>
      <c r="B382" s="41" t="s">
        <v>45</v>
      </c>
      <c r="C382" s="41" t="s">
        <v>23</v>
      </c>
      <c r="D382" s="41" t="s">
        <v>46</v>
      </c>
      <c r="E382" s="41" t="s">
        <v>47</v>
      </c>
      <c r="F382" s="41" t="s">
        <v>25</v>
      </c>
      <c r="G382" s="41" t="s">
        <v>25</v>
      </c>
      <c r="H382" s="41" t="s">
        <v>25</v>
      </c>
      <c r="I382" s="60">
        <v>44501</v>
      </c>
      <c r="J382" s="61">
        <f>EFEITO!$J$382*EFEITO!$Y$382</f>
        <v>0</v>
      </c>
      <c r="K382" s="61">
        <f ca="1">EFEITO!$L$382*EFEITO!$Z$382</f>
        <v>22301.262352381265</v>
      </c>
      <c r="L382" s="61">
        <f>EFEITO!$N$382*EFEITO!$AA$382</f>
        <v>9507.819229024557</v>
      </c>
      <c r="M382" s="61">
        <f>$J$382-EFEITO!$K$382*EFEITO!$Y$382</f>
        <v>0</v>
      </c>
      <c r="N382" s="61">
        <f ca="1">$K$382-EFEITO!$M$382*EFEITO!$Z$382</f>
        <v>0</v>
      </c>
      <c r="O382" s="61">
        <f>$L$382-EFEITO!$O$382*EFEITO!$AA$382</f>
        <v>0</v>
      </c>
      <c r="P382" s="45"/>
      <c r="Q382" s="45"/>
      <c r="R382" s="45"/>
      <c r="S382" s="45"/>
      <c r="T382" s="45"/>
      <c r="U382" s="45"/>
      <c r="V382" s="45"/>
      <c r="W382" s="45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41" t="s">
        <v>21</v>
      </c>
      <c r="B383" s="41" t="s">
        <v>45</v>
      </c>
      <c r="C383" s="41" t="s">
        <v>23</v>
      </c>
      <c r="D383" s="41" t="s">
        <v>46</v>
      </c>
      <c r="E383" s="41" t="s">
        <v>47</v>
      </c>
      <c r="F383" s="41" t="s">
        <v>25</v>
      </c>
      <c r="G383" s="41" t="s">
        <v>25</v>
      </c>
      <c r="H383" s="41" t="s">
        <v>25</v>
      </c>
      <c r="I383" s="60">
        <v>44531</v>
      </c>
      <c r="J383" s="61">
        <f>EFEITO!$J$383*EFEITO!$Y$383</f>
        <v>0</v>
      </c>
      <c r="K383" s="61">
        <f ca="1">EFEITO!$L$383*EFEITO!$Z$383</f>
        <v>23399.766590502404</v>
      </c>
      <c r="L383" s="61">
        <f>EFEITO!$N$383*EFEITO!$AA$383</f>
        <v>9976.1505527560112</v>
      </c>
      <c r="M383" s="61">
        <f>$J$383-EFEITO!$K$383*EFEITO!$Y$383</f>
        <v>0</v>
      </c>
      <c r="N383" s="61">
        <f ca="1">$K$383-EFEITO!$M$383*EFEITO!$Z$383</f>
        <v>0</v>
      </c>
      <c r="O383" s="61">
        <f>$L$383-EFEITO!$O$383*EFEITO!$AA$383</f>
        <v>0</v>
      </c>
      <c r="P383" s="45"/>
      <c r="Q383" s="45"/>
      <c r="R383" s="45"/>
      <c r="S383" s="45"/>
      <c r="T383" s="45"/>
      <c r="U383" s="45"/>
      <c r="V383" s="45"/>
      <c r="W383" s="45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41" t="s">
        <v>21</v>
      </c>
      <c r="B384" s="41" t="s">
        <v>45</v>
      </c>
      <c r="C384" s="41" t="s">
        <v>23</v>
      </c>
      <c r="D384" s="41" t="s">
        <v>46</v>
      </c>
      <c r="E384" s="41" t="s">
        <v>47</v>
      </c>
      <c r="F384" s="41" t="s">
        <v>25</v>
      </c>
      <c r="G384" s="41" t="s">
        <v>25</v>
      </c>
      <c r="H384" s="41" t="s">
        <v>25</v>
      </c>
      <c r="I384" s="60">
        <v>44562</v>
      </c>
      <c r="J384" s="61">
        <f>EFEITO!$J$384*EFEITO!$Y$384</f>
        <v>0</v>
      </c>
      <c r="K384" s="61">
        <f ca="1">EFEITO!$L$384*EFEITO!$Z$384</f>
        <v>22890.186786905611</v>
      </c>
      <c r="L384" s="61">
        <f>EFEITO!$N$384*EFEITO!$AA$384</f>
        <v>9758.8986062605763</v>
      </c>
      <c r="M384" s="61">
        <f>$J$384-EFEITO!$K$384*EFEITO!$Y$384</f>
        <v>0</v>
      </c>
      <c r="N384" s="61">
        <f ca="1">$K$384-EFEITO!$M$384*EFEITO!$Z$384</f>
        <v>0</v>
      </c>
      <c r="O384" s="61">
        <f>$L$384-EFEITO!$O$384*EFEITO!$AA$384</f>
        <v>0</v>
      </c>
      <c r="P384" s="45"/>
      <c r="Q384" s="45"/>
      <c r="R384" s="45"/>
      <c r="S384" s="45"/>
      <c r="T384" s="45"/>
      <c r="U384" s="45"/>
      <c r="V384" s="45"/>
      <c r="W384" s="45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41" t="s">
        <v>21</v>
      </c>
      <c r="B385" s="41" t="s">
        <v>45</v>
      </c>
      <c r="C385" s="41" t="s">
        <v>23</v>
      </c>
      <c r="D385" s="41" t="s">
        <v>46</v>
      </c>
      <c r="E385" s="41" t="s">
        <v>47</v>
      </c>
      <c r="F385" s="41" t="s">
        <v>25</v>
      </c>
      <c r="G385" s="41" t="s">
        <v>25</v>
      </c>
      <c r="H385" s="41" t="s">
        <v>25</v>
      </c>
      <c r="I385" s="60">
        <v>44593</v>
      </c>
      <c r="J385" s="61">
        <f>EFEITO!$J$385*EFEITO!$Y$385</f>
        <v>0</v>
      </c>
      <c r="K385" s="61">
        <f ca="1">EFEITO!$L$385*EFEITO!$Z$385</f>
        <v>22787.18661383817</v>
      </c>
      <c r="L385" s="61">
        <f>EFEITO!$N$385*EFEITO!$AA$385</f>
        <v>9714.9859787774567</v>
      </c>
      <c r="M385" s="61">
        <f>$J$385-EFEITO!$K$385*EFEITO!$Y$385</f>
        <v>0</v>
      </c>
      <c r="N385" s="61">
        <f ca="1">$K$385-EFEITO!$M$385*EFEITO!$Z$385</f>
        <v>0</v>
      </c>
      <c r="O385" s="61">
        <f>$L$385-EFEITO!$O$385*EFEITO!$AA$385</f>
        <v>0</v>
      </c>
      <c r="P385" s="45"/>
      <c r="Q385" s="45"/>
      <c r="R385" s="45"/>
      <c r="S385" s="45"/>
      <c r="T385" s="45"/>
      <c r="U385" s="45"/>
      <c r="V385" s="45"/>
      <c r="W385" s="45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41" t="s">
        <v>21</v>
      </c>
      <c r="B386" s="41" t="s">
        <v>45</v>
      </c>
      <c r="C386" s="41" t="s">
        <v>23</v>
      </c>
      <c r="D386" s="41" t="s">
        <v>46</v>
      </c>
      <c r="E386" s="41" t="s">
        <v>47</v>
      </c>
      <c r="F386" s="41" t="s">
        <v>25</v>
      </c>
      <c r="G386" s="41" t="s">
        <v>25</v>
      </c>
      <c r="H386" s="41" t="s">
        <v>25</v>
      </c>
      <c r="I386" s="60">
        <v>44621</v>
      </c>
      <c r="J386" s="61">
        <f>EFEITO!$J$386*EFEITO!$Y$386</f>
        <v>0</v>
      </c>
      <c r="K386" s="61">
        <f ca="1">EFEITO!$L$386*EFEITO!$Z$386</f>
        <v>22916.060036121111</v>
      </c>
      <c r="L386" s="61">
        <f>EFEITO!$N$386*EFEITO!$AA$386</f>
        <v>9769.9292901977242</v>
      </c>
      <c r="M386" s="61">
        <f>$J$386-EFEITO!$K$386*EFEITO!$Y$386</f>
        <v>0</v>
      </c>
      <c r="N386" s="61">
        <f ca="1">$K$386-EFEITO!$M$386*EFEITO!$Z$386</f>
        <v>0</v>
      </c>
      <c r="O386" s="61">
        <f>$L$386-EFEITO!$O$386*EFEITO!$AA$386</f>
        <v>0</v>
      </c>
      <c r="P386" s="45"/>
      <c r="Q386" s="45"/>
      <c r="R386" s="45"/>
      <c r="S386" s="45"/>
      <c r="T386" s="45"/>
      <c r="U386" s="45"/>
      <c r="V386" s="45"/>
      <c r="W386" s="45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41" t="s">
        <v>21</v>
      </c>
      <c r="B387" s="41" t="s">
        <v>45</v>
      </c>
      <c r="C387" s="41" t="s">
        <v>23</v>
      </c>
      <c r="D387" s="41" t="s">
        <v>46</v>
      </c>
      <c r="E387" s="41" t="s">
        <v>47</v>
      </c>
      <c r="F387" s="41" t="s">
        <v>25</v>
      </c>
      <c r="G387" s="41" t="s">
        <v>25</v>
      </c>
      <c r="H387" s="41" t="s">
        <v>25</v>
      </c>
      <c r="I387" s="60">
        <v>44652</v>
      </c>
      <c r="J387" s="61">
        <f>EFEITO!$J$387*EFEITO!$Y$387</f>
        <v>0</v>
      </c>
      <c r="K387" s="61">
        <f ca="1">EFEITO!$L$387*EFEITO!$Z$387</f>
        <v>24801.603874188175</v>
      </c>
      <c r="L387" s="61">
        <f>EFEITO!$N$387*EFEITO!$AA$387</f>
        <v>10573.803513883924</v>
      </c>
      <c r="M387" s="61">
        <f>$J$387-EFEITO!$K$387*EFEITO!$Y$387</f>
        <v>0</v>
      </c>
      <c r="N387" s="61">
        <f ca="1">$K$387-EFEITO!$M$387*EFEITO!$Z$387</f>
        <v>0</v>
      </c>
      <c r="O387" s="61">
        <f>$L$387-EFEITO!$O$387*EFEITO!$AA$387</f>
        <v>0</v>
      </c>
      <c r="P387" s="45"/>
      <c r="Q387" s="45"/>
      <c r="R387" s="45"/>
      <c r="S387" s="45"/>
      <c r="T387" s="45"/>
      <c r="U387" s="45"/>
      <c r="V387" s="45"/>
      <c r="W387" s="45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41" t="s">
        <v>21</v>
      </c>
      <c r="B388" s="41" t="s">
        <v>45</v>
      </c>
      <c r="C388" s="41" t="s">
        <v>23</v>
      </c>
      <c r="D388" s="41" t="s">
        <v>46</v>
      </c>
      <c r="E388" s="41" t="s">
        <v>47</v>
      </c>
      <c r="F388" s="41" t="s">
        <v>25</v>
      </c>
      <c r="G388" s="41" t="s">
        <v>25</v>
      </c>
      <c r="H388" s="41" t="s">
        <v>25</v>
      </c>
      <c r="I388" s="60">
        <v>44682</v>
      </c>
      <c r="J388" s="61">
        <f>EFEITO!$J$388*EFEITO!$Y$388</f>
        <v>0</v>
      </c>
      <c r="K388" s="61">
        <f ca="1">EFEITO!$L$388*EFEITO!$Z$388</f>
        <v>25554.392220410718</v>
      </c>
      <c r="L388" s="61">
        <f>EFEITO!$N$388*EFEITO!$AA$388</f>
        <v>10894.743889388545</v>
      </c>
      <c r="M388" s="61">
        <f>$J$388-EFEITO!$K$388*EFEITO!$Y$388</f>
        <v>0</v>
      </c>
      <c r="N388" s="61">
        <f ca="1">$K$388-EFEITO!$M$388*EFEITO!$Z$388</f>
        <v>0</v>
      </c>
      <c r="O388" s="61">
        <f>$L$388-EFEITO!$O$388*EFEITO!$AA$388</f>
        <v>0</v>
      </c>
      <c r="P388" s="45"/>
      <c r="Q388" s="45"/>
      <c r="R388" s="45"/>
      <c r="S388" s="45"/>
      <c r="T388" s="45"/>
      <c r="U388" s="45"/>
      <c r="V388" s="45"/>
      <c r="W388" s="45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41" t="s">
        <v>21</v>
      </c>
      <c r="B389" s="41" t="s">
        <v>45</v>
      </c>
      <c r="C389" s="41" t="s">
        <v>23</v>
      </c>
      <c r="D389" s="41" t="s">
        <v>46</v>
      </c>
      <c r="E389" s="41" t="s">
        <v>47</v>
      </c>
      <c r="F389" s="41" t="s">
        <v>25</v>
      </c>
      <c r="G389" s="41" t="s">
        <v>25</v>
      </c>
      <c r="H389" s="41" t="s">
        <v>25</v>
      </c>
      <c r="I389" s="60">
        <v>44713</v>
      </c>
      <c r="J389" s="61">
        <f>EFEITO!$J$389*EFEITO!$Y$389</f>
        <v>0</v>
      </c>
      <c r="K389" s="61">
        <f ca="1">EFEITO!$L$389*EFEITO!$Z$389</f>
        <v>27186.378216165831</v>
      </c>
      <c r="L389" s="61">
        <f>EFEITO!$N$389*EFEITO!$AA$389</f>
        <v>11590.5174104907</v>
      </c>
      <c r="M389" s="61">
        <f>$J$389-EFEITO!$K$389*EFEITO!$Y$389</f>
        <v>0</v>
      </c>
      <c r="N389" s="61">
        <f ca="1">$K$389-EFEITO!$M$389*EFEITO!$Z$389</f>
        <v>0</v>
      </c>
      <c r="O389" s="61">
        <f>$L$389-EFEITO!$O$389*EFEITO!$AA$389</f>
        <v>0</v>
      </c>
      <c r="P389" s="45"/>
      <c r="Q389" s="45"/>
      <c r="R389" s="45"/>
      <c r="S389" s="45"/>
      <c r="T389" s="45"/>
      <c r="U389" s="45"/>
      <c r="V389" s="45"/>
      <c r="W389" s="45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41" t="s">
        <v>21</v>
      </c>
      <c r="B390" s="41" t="s">
        <v>45</v>
      </c>
      <c r="C390" s="41" t="s">
        <v>23</v>
      </c>
      <c r="D390" s="41" t="s">
        <v>46</v>
      </c>
      <c r="E390" s="41" t="s">
        <v>47</v>
      </c>
      <c r="F390" s="41" t="s">
        <v>25</v>
      </c>
      <c r="G390" s="41" t="s">
        <v>25</v>
      </c>
      <c r="H390" s="41" t="s">
        <v>25</v>
      </c>
      <c r="I390" s="60">
        <v>44743</v>
      </c>
      <c r="J390" s="61">
        <f>EFEITO!$J$390*EFEITO!$Y$390</f>
        <v>0</v>
      </c>
      <c r="K390" s="61">
        <f ca="1">EFEITO!$L$390*EFEITO!$Z$390</f>
        <v>29020.914791493757</v>
      </c>
      <c r="L390" s="61">
        <f>EFEITO!$N$390*EFEITO!$AA$390</f>
        <v>12372.645428700811</v>
      </c>
      <c r="M390" s="61">
        <f>$J$390-EFEITO!$K$390*EFEITO!$Y$390</f>
        <v>0</v>
      </c>
      <c r="N390" s="61">
        <f ca="1">$K$390-EFEITO!$M$390*EFEITO!$Z$390</f>
        <v>0</v>
      </c>
      <c r="O390" s="61">
        <f>$L$390-EFEITO!$O$390*EFEITO!$AA$390</f>
        <v>0</v>
      </c>
      <c r="P390" s="45"/>
      <c r="Q390" s="45"/>
      <c r="R390" s="45"/>
      <c r="S390" s="45"/>
      <c r="T390" s="45"/>
      <c r="U390" s="45"/>
      <c r="V390" s="45"/>
      <c r="W390" s="45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41" t="s">
        <v>55</v>
      </c>
      <c r="B391" s="41" t="s">
        <v>45</v>
      </c>
      <c r="C391" s="41" t="s">
        <v>23</v>
      </c>
      <c r="D391" s="41" t="s">
        <v>46</v>
      </c>
      <c r="E391" s="41" t="s">
        <v>47</v>
      </c>
      <c r="F391" s="41" t="s">
        <v>25</v>
      </c>
      <c r="G391" s="41" t="s">
        <v>25</v>
      </c>
      <c r="H391" s="41" t="s">
        <v>25</v>
      </c>
      <c r="I391" s="60">
        <v>44774</v>
      </c>
      <c r="J391" s="61">
        <f>EFEITO!$J$391*EFEITO!$Y$391</f>
        <v>0</v>
      </c>
      <c r="K391" s="61">
        <f ca="1">EFEITO!$L$391*EFEITO!$Z$391</f>
        <v>29020.914791493757</v>
      </c>
      <c r="L391" s="61">
        <f>EFEITO!$N$391*EFEITO!$AA$391</f>
        <v>12372.645428700811</v>
      </c>
      <c r="M391" s="61">
        <f>$J$391-EFEITO!$K$391*EFEITO!$Y$391</f>
        <v>0</v>
      </c>
      <c r="N391" s="61">
        <f ca="1">$K$391-EFEITO!$M$391*EFEITO!$Z$391</f>
        <v>0</v>
      </c>
      <c r="O391" s="61">
        <f>$L$391-EFEITO!$O$391*EFEITO!$AA$391</f>
        <v>0</v>
      </c>
      <c r="P391" s="45"/>
      <c r="Q391" s="45"/>
      <c r="R391" s="45"/>
      <c r="S391" s="45"/>
      <c r="T391" s="45"/>
      <c r="U391" s="45"/>
      <c r="V391" s="45"/>
      <c r="W391" s="45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AEF7-5823-49CE-B02F-333A2A4BABAD}">
  <dimension ref="A1:BD103"/>
  <sheetViews>
    <sheetView showGridLines="0" topLeftCell="L29" workbookViewId="0">
      <selection activeCell="L53" sqref="L53:BD103"/>
    </sheetView>
  </sheetViews>
  <sheetFormatPr defaultColWidth="9.109375" defaultRowHeight="11.25" customHeight="1" x14ac:dyDescent="0.3"/>
  <cols>
    <col min="1" max="1" width="9.33203125" style="9" bestFit="1" customWidth="1"/>
    <col min="2" max="2" width="23.44140625" style="9" bestFit="1" customWidth="1"/>
    <col min="3" max="3" width="33" style="9" bestFit="1" customWidth="1"/>
    <col min="4" max="4" width="56.109375" style="9" bestFit="1" customWidth="1"/>
    <col min="5" max="5" width="65.6640625" style="9" bestFit="1" customWidth="1"/>
    <col min="6" max="6" width="75.44140625" style="9" bestFit="1" customWidth="1"/>
    <col min="7" max="7" width="7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7.44140625" style="9" bestFit="1" customWidth="1"/>
    <col min="21" max="21" width="7.33203125" style="9" bestFit="1" customWidth="1"/>
    <col min="22" max="23" width="9.88671875" style="9" bestFit="1" customWidth="1"/>
    <col min="24" max="24" width="10" style="9" bestFit="1" customWidth="1"/>
    <col min="25" max="25" width="7.6640625" style="9" bestFit="1" customWidth="1"/>
    <col min="26" max="26" width="9.88671875" style="9" bestFit="1" customWidth="1"/>
    <col min="27" max="27" width="11.6640625" style="9" bestFit="1" customWidth="1"/>
    <col min="28" max="28" width="8" style="9" bestFit="1" customWidth="1"/>
    <col min="29" max="29" width="7.33203125" style="9" bestFit="1" customWidth="1"/>
    <col min="30" max="30" width="15.33203125" style="9" bestFit="1" customWidth="1"/>
    <col min="31" max="31" width="18" style="9" bestFit="1" customWidth="1"/>
    <col min="32" max="32" width="19.109375" style="9" bestFit="1" customWidth="1"/>
    <col min="33" max="33" width="4" style="9" bestFit="1" customWidth="1"/>
    <col min="34" max="34" width="9.109375" style="9"/>
    <col min="35" max="35" width="13.44140625" style="9" bestFit="1" customWidth="1"/>
    <col min="36" max="36" width="7.88671875" style="9" bestFit="1" customWidth="1"/>
    <col min="37" max="38" width="4.109375" style="9" bestFit="1" customWidth="1"/>
    <col min="39" max="39" width="4.44140625" style="9" bestFit="1" customWidth="1"/>
    <col min="40" max="40" width="10" style="9" bestFit="1" customWidth="1"/>
    <col min="41" max="42" width="8.6640625" style="9" bestFit="1" customWidth="1"/>
    <col min="43" max="43" width="7.44140625" style="9" bestFit="1" customWidth="1"/>
    <col min="44" max="44" width="7.33203125" style="9" bestFit="1" customWidth="1"/>
    <col min="45" max="46" width="9.88671875" style="9" bestFit="1" customWidth="1"/>
    <col min="47" max="47" width="10" style="9" bestFit="1" customWidth="1"/>
    <col min="48" max="48" width="7.6640625" style="9" bestFit="1" customWidth="1"/>
    <col min="49" max="49" width="9.88671875" style="9" bestFit="1" customWidth="1"/>
    <col min="50" max="50" width="11.6640625" style="9" bestFit="1" customWidth="1"/>
    <col min="51" max="51" width="8" style="9" bestFit="1" customWidth="1"/>
    <col min="52" max="52" width="7.33203125" style="9" bestFit="1" customWidth="1"/>
    <col min="53" max="53" width="15.33203125" style="9" bestFit="1" customWidth="1"/>
    <col min="54" max="54" width="18" style="9" bestFit="1" customWidth="1"/>
    <col min="55" max="55" width="19.109375" style="9" bestFit="1" customWidth="1"/>
    <col min="56" max="56" width="4" style="9" bestFit="1" customWidth="1"/>
    <col min="57" max="16384" width="9.109375" style="9"/>
  </cols>
  <sheetData>
    <row r="1" spans="1:56" ht="11.25" customHeight="1" x14ac:dyDescent="0.3">
      <c r="A1" s="93" t="s">
        <v>62</v>
      </c>
      <c r="B1" s="93" t="s">
        <v>63</v>
      </c>
      <c r="C1" s="93" t="s">
        <v>64</v>
      </c>
      <c r="D1" s="93" t="s">
        <v>65</v>
      </c>
      <c r="E1" s="93" t="s">
        <v>66</v>
      </c>
      <c r="F1" s="93" t="s">
        <v>15</v>
      </c>
      <c r="G1" s="93" t="s">
        <v>68</v>
      </c>
      <c r="H1" s="93" t="s">
        <v>69</v>
      </c>
      <c r="I1" s="93" t="s">
        <v>524</v>
      </c>
      <c r="J1" s="85"/>
      <c r="L1" s="94" t="s">
        <v>725</v>
      </c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I1" s="94" t="s">
        <v>726</v>
      </c>
      <c r="AJ1" s="94"/>
      <c r="AK1" s="94"/>
      <c r="AL1" s="94"/>
      <c r="AM1" s="94"/>
      <c r="AN1" s="94"/>
      <c r="AO1" s="94"/>
      <c r="AP1" s="94"/>
      <c r="AQ1" s="94"/>
      <c r="AR1" s="94"/>
      <c r="AS1" s="94"/>
      <c r="AT1" s="94"/>
      <c r="AU1" s="94"/>
      <c r="AV1" s="94"/>
      <c r="AW1" s="94"/>
      <c r="AX1" s="94"/>
      <c r="AY1" s="94"/>
      <c r="AZ1" s="94"/>
      <c r="BA1" s="94"/>
      <c r="BB1" s="94"/>
      <c r="BC1" s="94"/>
      <c r="BD1" s="94"/>
    </row>
    <row r="2" spans="1:56" ht="11.25" customHeight="1" x14ac:dyDescent="0.3">
      <c r="A2" s="93"/>
      <c r="B2" s="93"/>
      <c r="C2" s="93"/>
      <c r="D2" s="93"/>
      <c r="E2" s="93"/>
      <c r="F2" s="93"/>
      <c r="G2" s="93"/>
      <c r="H2" s="93"/>
      <c r="I2" s="93"/>
      <c r="J2" s="85"/>
      <c r="L2" s="94" t="s">
        <v>423</v>
      </c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I2" s="94" t="s">
        <v>423</v>
      </c>
      <c r="AJ2" s="94"/>
      <c r="AK2" s="94"/>
      <c r="AL2" s="94"/>
      <c r="AM2" s="94"/>
      <c r="AN2" s="94"/>
      <c r="AO2" s="94"/>
      <c r="AP2" s="94"/>
      <c r="AQ2" s="94"/>
      <c r="AR2" s="94"/>
      <c r="AS2" s="94"/>
      <c r="AT2" s="94"/>
      <c r="AU2" s="94"/>
      <c r="AV2" s="94"/>
      <c r="AW2" s="94"/>
      <c r="AX2" s="94"/>
      <c r="AY2" s="94"/>
      <c r="AZ2" s="94"/>
      <c r="BA2" s="94"/>
      <c r="BB2" s="94"/>
      <c r="BC2" s="94"/>
      <c r="BD2" s="94"/>
    </row>
    <row r="3" spans="1:56" ht="11.25" customHeight="1" x14ac:dyDescent="0.3">
      <c r="A3" s="93"/>
      <c r="B3" s="93"/>
      <c r="C3" s="93"/>
      <c r="D3" s="93"/>
      <c r="E3" s="93"/>
      <c r="F3" s="93"/>
      <c r="G3" s="93"/>
      <c r="H3" s="93"/>
      <c r="I3" s="93"/>
      <c r="J3" s="85"/>
      <c r="L3" s="94" t="s">
        <v>424</v>
      </c>
      <c r="M3" s="94"/>
      <c r="N3" s="94"/>
      <c r="O3" s="94"/>
      <c r="P3" s="94"/>
      <c r="Q3" s="94"/>
      <c r="R3" s="94"/>
      <c r="S3" s="94"/>
      <c r="T3" s="94" t="s">
        <v>433</v>
      </c>
      <c r="U3" s="94"/>
      <c r="V3" s="94"/>
      <c r="W3" s="94"/>
      <c r="X3" s="94"/>
      <c r="Y3" s="94"/>
      <c r="Z3" s="94"/>
      <c r="AA3" s="10" t="s">
        <v>441</v>
      </c>
      <c r="AB3" s="94" t="s">
        <v>443</v>
      </c>
      <c r="AC3" s="94"/>
      <c r="AD3" s="94" t="s">
        <v>446</v>
      </c>
      <c r="AE3" s="94"/>
      <c r="AF3" s="94"/>
      <c r="AG3" s="94"/>
      <c r="AI3" s="94" t="s">
        <v>424</v>
      </c>
      <c r="AJ3" s="94"/>
      <c r="AK3" s="94"/>
      <c r="AL3" s="94"/>
      <c r="AM3" s="94"/>
      <c r="AN3" s="94"/>
      <c r="AO3" s="94"/>
      <c r="AP3" s="94"/>
      <c r="AQ3" s="94" t="s">
        <v>433</v>
      </c>
      <c r="AR3" s="94"/>
      <c r="AS3" s="94"/>
      <c r="AT3" s="94"/>
      <c r="AU3" s="94"/>
      <c r="AV3" s="94"/>
      <c r="AW3" s="94"/>
      <c r="AX3" s="10" t="s">
        <v>441</v>
      </c>
      <c r="AY3" s="94" t="s">
        <v>443</v>
      </c>
      <c r="AZ3" s="94"/>
      <c r="BA3" s="94" t="s">
        <v>446</v>
      </c>
      <c r="BB3" s="94"/>
      <c r="BC3" s="94"/>
      <c r="BD3" s="94"/>
    </row>
    <row r="4" spans="1:56" ht="11.25" customHeight="1" x14ac:dyDescent="0.3">
      <c r="A4" s="93"/>
      <c r="B4" s="93"/>
      <c r="C4" s="93"/>
      <c r="D4" s="93"/>
      <c r="E4" s="93"/>
      <c r="F4" s="93"/>
      <c r="G4" s="93"/>
      <c r="H4" s="93"/>
      <c r="I4" s="93"/>
      <c r="J4" s="85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434</v>
      </c>
      <c r="U4" s="10" t="s">
        <v>435</v>
      </c>
      <c r="V4" s="10" t="s">
        <v>436</v>
      </c>
      <c r="W4" s="10" t="s">
        <v>437</v>
      </c>
      <c r="X4" s="10" t="s">
        <v>438</v>
      </c>
      <c r="Y4" s="10" t="s">
        <v>439</v>
      </c>
      <c r="Z4" s="10" t="s">
        <v>440</v>
      </c>
      <c r="AA4" s="10" t="s">
        <v>442</v>
      </c>
      <c r="AB4" s="10" t="s">
        <v>444</v>
      </c>
      <c r="AC4" s="10" t="s">
        <v>445</v>
      </c>
      <c r="AD4" s="10" t="s">
        <v>447</v>
      </c>
      <c r="AE4" s="10" t="s">
        <v>448</v>
      </c>
      <c r="AF4" s="10" t="s">
        <v>449</v>
      </c>
      <c r="AG4" s="10" t="s">
        <v>450</v>
      </c>
      <c r="AI4" s="10" t="s">
        <v>509</v>
      </c>
      <c r="AJ4" s="10" t="s">
        <v>425</v>
      </c>
      <c r="AK4" s="10" t="s">
        <v>426</v>
      </c>
      <c r="AL4" s="10" t="s">
        <v>427</v>
      </c>
      <c r="AM4" s="10" t="s">
        <v>428</v>
      </c>
      <c r="AN4" s="10" t="s">
        <v>429</v>
      </c>
      <c r="AO4" s="10" t="s">
        <v>430</v>
      </c>
      <c r="AP4" s="10" t="s">
        <v>431</v>
      </c>
      <c r="AQ4" s="10" t="s">
        <v>434</v>
      </c>
      <c r="AR4" s="10" t="s">
        <v>435</v>
      </c>
      <c r="AS4" s="10" t="s">
        <v>436</v>
      </c>
      <c r="AT4" s="10" t="s">
        <v>437</v>
      </c>
      <c r="AU4" s="10" t="s">
        <v>438</v>
      </c>
      <c r="AV4" s="10" t="s">
        <v>439</v>
      </c>
      <c r="AW4" s="10" t="s">
        <v>440</v>
      </c>
      <c r="AX4" s="10" t="s">
        <v>442</v>
      </c>
      <c r="AY4" s="10" t="s">
        <v>444</v>
      </c>
      <c r="AZ4" s="10" t="s">
        <v>445</v>
      </c>
      <c r="BA4" s="10" t="s">
        <v>447</v>
      </c>
      <c r="BB4" s="10" t="s">
        <v>448</v>
      </c>
      <c r="BC4" s="10" t="s">
        <v>449</v>
      </c>
      <c r="BD4" s="10" t="s">
        <v>450</v>
      </c>
    </row>
    <row r="5" spans="1:56" ht="11.25" customHeight="1" x14ac:dyDescent="0.3">
      <c r="A5" s="92" t="s">
        <v>35</v>
      </c>
      <c r="B5" s="92" t="s">
        <v>75</v>
      </c>
      <c r="C5" s="92" t="s">
        <v>25</v>
      </c>
      <c r="D5" s="92" t="s">
        <v>25</v>
      </c>
      <c r="E5" s="92" t="s">
        <v>25</v>
      </c>
      <c r="F5" s="92" t="s">
        <v>25</v>
      </c>
      <c r="G5" s="24" t="s">
        <v>77</v>
      </c>
      <c r="H5" s="24" t="s">
        <v>76</v>
      </c>
      <c r="I5" s="24">
        <f>'MERCADO TUSD'!$U$2</f>
        <v>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36.483764873793547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53.950708785352361</v>
      </c>
      <c r="AB5" s="13">
        <f ca="1">('TUSD BE'!$AE$5+'TUSD BF'!$AE$5+'TUSD CVA'!$AE$5)*1</f>
        <v>0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28.530181343773499</v>
      </c>
      <c r="AV5" s="13">
        <v>0</v>
      </c>
      <c r="AW5" s="13">
        <v>0</v>
      </c>
      <c r="AX5" s="13">
        <v>34.092012771812101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3">
      <c r="A6" s="92"/>
      <c r="B6" s="92"/>
      <c r="C6" s="92"/>
      <c r="D6" s="92"/>
      <c r="E6" s="92"/>
      <c r="F6" s="92"/>
      <c r="G6" s="24" t="s">
        <v>78</v>
      </c>
      <c r="H6" s="24" t="s">
        <v>76</v>
      </c>
      <c r="I6" s="24">
        <f>'MERCADO TUSD'!$U$3</f>
        <v>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14.746233704451837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15.075635622371516</v>
      </c>
      <c r="AB6" s="13">
        <f ca="1">('TUSD BE'!$AE$6+'TUSD BF'!$AE$6+'TUSD CVA'!$AE$6)*1</f>
        <v>0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11.531463143763199</v>
      </c>
      <c r="AV6" s="13">
        <v>0</v>
      </c>
      <c r="AW6" s="13">
        <v>0</v>
      </c>
      <c r="AX6" s="13">
        <v>9.5264471835737901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3">
      <c r="A7" s="92"/>
      <c r="B7" s="92"/>
      <c r="C7" s="92"/>
      <c r="D7" s="92"/>
      <c r="E7" s="92"/>
      <c r="F7" s="92"/>
      <c r="G7" s="24" t="s">
        <v>79</v>
      </c>
      <c r="H7" s="24" t="s">
        <v>72</v>
      </c>
      <c r="I7" s="24">
        <f>'MERCADO TUSD'!$U$4</f>
        <v>0</v>
      </c>
      <c r="J7" s="15"/>
      <c r="L7" s="13">
        <f>('TUSD BE'!$L$7+'TUSD BF'!$L$7+'TUSD CVA'!$L$7)*1</f>
        <v>0</v>
      </c>
      <c r="M7" s="13">
        <f>('TUSD BE'!$M$7+'TUSD BF'!$M$7+'TUSD CVA'!$M$7)*1</f>
        <v>0.84570768507406957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73.402650226135449</v>
      </c>
      <c r="R7" s="13">
        <f>('TUSD BE'!$R$7+'TUSD BF'!$R$7+'TUSD CVA'!$R$7)*1</f>
        <v>13.713712064080534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0</v>
      </c>
      <c r="AC7" s="13">
        <f ca="1">('TUSD BE'!$AF$7+'TUSD BF'!$AF$7+'TUSD CVA'!$AF$7)*1</f>
        <v>0</v>
      </c>
      <c r="AD7" s="13">
        <f>('TUSD BE'!$AH$7+'TUSD BF'!$AH$7+'TUSD CVA'!$AH$7)*1</f>
        <v>0.70464628391697415</v>
      </c>
      <c r="AE7" s="13">
        <f>('TUSD BE'!$AI$7+'TUSD BF'!$AI$7+'TUSD CVA'!$AI$7)*1</f>
        <v>2.8476354748969122E-2</v>
      </c>
      <c r="AF7" s="13">
        <f ca="1">('TUSD BE'!$AJ$7+'TUSD BF'!$AJ$7+'TUSD CVA'!$AJ$7)*1</f>
        <v>0</v>
      </c>
      <c r="AG7" s="13">
        <f ca="1">('TUSD BE'!$AK$7+'TUSD BF'!$AK$7+'TUSD CVA'!$AK$7)*1</f>
        <v>0</v>
      </c>
      <c r="AI7" s="13">
        <v>0</v>
      </c>
      <c r="AJ7" s="13">
        <v>0.64489776059956805</v>
      </c>
      <c r="AK7" s="13">
        <v>0</v>
      </c>
      <c r="AL7" s="13">
        <v>0</v>
      </c>
      <c r="AM7" s="13">
        <v>0</v>
      </c>
      <c r="AN7" s="13">
        <v>50.984504088134898</v>
      </c>
      <c r="AO7" s="13">
        <v>9.1393140767248404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0.93799615856712504</v>
      </c>
      <c r="BB7" s="13">
        <v>0</v>
      </c>
      <c r="BC7" s="13">
        <v>0</v>
      </c>
      <c r="BD7" s="13">
        <v>0</v>
      </c>
    </row>
    <row r="8" spans="1:56" ht="11.25" customHeight="1" x14ac:dyDescent="0.3">
      <c r="A8" s="92"/>
      <c r="B8" s="92"/>
      <c r="C8" s="92"/>
      <c r="D8" s="92"/>
      <c r="E8" s="23" t="s">
        <v>80</v>
      </c>
      <c r="F8" s="23" t="s">
        <v>25</v>
      </c>
      <c r="G8" s="24" t="s">
        <v>79</v>
      </c>
      <c r="H8" s="24" t="s">
        <v>72</v>
      </c>
      <c r="I8" s="24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0.84570768507406957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0</v>
      </c>
      <c r="AC8" s="13">
        <f ca="1">('TUSD BE'!$AF$8+'TUSD BF'!$AF$8+'TUSD CVA'!$AF$8)*1</f>
        <v>0</v>
      </c>
      <c r="AD8" s="13">
        <f>('TUSD BE'!$AH$8+'TUSD BF'!$AH$8+'TUSD CVA'!$AH$8)*1</f>
        <v>0.70464628391697415</v>
      </c>
      <c r="AE8" s="13">
        <f>('TUSD BE'!$AI$8+'TUSD BF'!$AI$8+'TUSD CVA'!$AI$8)*1</f>
        <v>2.8476354748969122E-2</v>
      </c>
      <c r="AF8" s="13">
        <f ca="1">('TUSD BE'!$AJ$8+'TUSD BF'!$AJ$8+'TUSD CVA'!$AJ$8)*1</f>
        <v>0</v>
      </c>
      <c r="AG8" s="13">
        <f ca="1">('TUSD BE'!$AK$8+'TUSD BF'!$AK$8+'TUSD CVA'!$AK$8)*1</f>
        <v>0</v>
      </c>
      <c r="AI8" s="13">
        <v>0</v>
      </c>
      <c r="AJ8" s="13">
        <v>0.64489776059956805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0.93799615856712504</v>
      </c>
      <c r="BB8" s="13">
        <v>0</v>
      </c>
      <c r="BC8" s="13">
        <v>0</v>
      </c>
      <c r="BD8" s="13">
        <v>0</v>
      </c>
    </row>
    <row r="9" spans="1:56" ht="11.25" customHeight="1" x14ac:dyDescent="0.3">
      <c r="A9" s="92"/>
      <c r="B9" s="23" t="s">
        <v>81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76</v>
      </c>
      <c r="I9" s="24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1.0494503330970441E-2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6.8202412512631057</v>
      </c>
      <c r="AB9" s="13">
        <f ca="1">('TUSD BE'!$AE$9+'TUSD BF'!$AE$9+'TUSD CVA'!$AE$9)*1</f>
        <v>0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9.7854404571268393E-3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4.3097589328350603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24" t="s">
        <v>9</v>
      </c>
      <c r="H10" s="24" t="s">
        <v>76</v>
      </c>
      <c r="I10" s="24">
        <f>'MERCADO TUSD'!$U$7</f>
        <v>72477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14.746233704451837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15.075635622371516</v>
      </c>
      <c r="AB10" s="13">
        <f ca="1">('TUSD BE'!$AE$10+'TUSD BF'!$AE$10+'TUSD CVA'!$AE$10)*1</f>
        <v>0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11.531463143763199</v>
      </c>
      <c r="AV10" s="13">
        <v>0</v>
      </c>
      <c r="AW10" s="13">
        <v>0</v>
      </c>
      <c r="AX10" s="13">
        <v>9.5264471835737901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3">
      <c r="A11" s="92"/>
      <c r="B11" s="92"/>
      <c r="C11" s="92"/>
      <c r="D11" s="92"/>
      <c r="E11" s="92"/>
      <c r="F11" s="92"/>
      <c r="G11" s="24" t="s">
        <v>73</v>
      </c>
      <c r="H11" s="24" t="s">
        <v>72</v>
      </c>
      <c r="I11" s="24">
        <f>'MERCADO TUSD'!$U$8</f>
        <v>1557.202</v>
      </c>
      <c r="J11" s="15"/>
      <c r="L11" s="13">
        <f>('TUSD BE'!$L$11+'TUSD BF'!$L$11+'TUSD CVA'!$L$11)*1</f>
        <v>0</v>
      </c>
      <c r="M11" s="13">
        <f>('TUSD BE'!$M$11+'TUSD BF'!$M$11+'TUSD CVA'!$M$11)*1</f>
        <v>0.84570768507406957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73.402650226135449</v>
      </c>
      <c r="R11" s="13">
        <f>('TUSD BE'!$R$11+'TUSD BF'!$R$11+'TUSD CVA'!$R$11)*1</f>
        <v>13.713712064080534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877.78405680775791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1297.5156387057809</v>
      </c>
      <c r="AB11" s="13">
        <f ca="1">('TUSD BE'!$AE$11+'TUSD BF'!$AE$11+'TUSD CVA'!$AE$11)*1</f>
        <v>0</v>
      </c>
      <c r="AC11" s="13">
        <f ca="1">('TUSD BE'!$AF$11+'TUSD BF'!$AF$11+'TUSD CVA'!$AF$11)*1</f>
        <v>0</v>
      </c>
      <c r="AD11" s="13">
        <f>('TUSD BE'!$AH$11+'TUSD BF'!$AH$11+'TUSD CVA'!$AH$11)*1</f>
        <v>0.70464628391697415</v>
      </c>
      <c r="AE11" s="13">
        <f>('TUSD BE'!$AI$11+'TUSD BF'!$AI$11+'TUSD CVA'!$AI$11)*1</f>
        <v>2.8476354748969122E-2</v>
      </c>
      <c r="AF11" s="13">
        <f ca="1">('TUSD BE'!$AJ$11+'TUSD BF'!$AJ$11+'TUSD CVA'!$AJ$11)*1</f>
        <v>0</v>
      </c>
      <c r="AG11" s="13">
        <f ca="1">('TUSD BE'!$AK$11+'TUSD BF'!$AK$11+'TUSD CVA'!$AK$11)*1</f>
        <v>0</v>
      </c>
      <c r="AI11" s="13">
        <v>0</v>
      </c>
      <c r="AJ11" s="13">
        <v>0.64489776059956805</v>
      </c>
      <c r="AK11" s="13">
        <v>0</v>
      </c>
      <c r="AL11" s="13">
        <v>0</v>
      </c>
      <c r="AM11" s="13">
        <v>0</v>
      </c>
      <c r="AN11" s="13">
        <v>50.984504088134898</v>
      </c>
      <c r="AO11" s="13">
        <v>9.1393140767248404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686.423045428877</v>
      </c>
      <c r="AV11" s="13">
        <v>0</v>
      </c>
      <c r="AW11" s="13">
        <v>0</v>
      </c>
      <c r="AX11" s="13">
        <v>819.91329465938497</v>
      </c>
      <c r="AY11" s="13">
        <v>0</v>
      </c>
      <c r="AZ11" s="13">
        <v>0</v>
      </c>
      <c r="BA11" s="13">
        <v>0.93799615856712504</v>
      </c>
      <c r="BB11" s="13">
        <v>0</v>
      </c>
      <c r="BC11" s="13">
        <v>0</v>
      </c>
      <c r="BD11" s="13">
        <v>0</v>
      </c>
    </row>
    <row r="12" spans="1:56" ht="11.25" customHeight="1" x14ac:dyDescent="0.3">
      <c r="A12" s="92"/>
      <c r="B12" s="92"/>
      <c r="C12" s="92"/>
      <c r="D12" s="92"/>
      <c r="E12" s="92"/>
      <c r="F12" s="92"/>
      <c r="G12" s="24" t="s">
        <v>74</v>
      </c>
      <c r="H12" s="24" t="s">
        <v>72</v>
      </c>
      <c r="I12" s="24">
        <f>'MERCADO TUSD'!$U$9</f>
        <v>23427.474000000002</v>
      </c>
      <c r="J12" s="15"/>
      <c r="L12" s="13">
        <f>('TUSD BE'!$L$12+'TUSD BF'!$L$12+'TUSD CVA'!$L$12)*1</f>
        <v>0</v>
      </c>
      <c r="M12" s="13">
        <f>('TUSD BE'!$M$12+'TUSD BF'!$M$12+'TUSD CVA'!$M$12)*1</f>
        <v>0.84570768507406957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73.402650226135449</v>
      </c>
      <c r="R12" s="13">
        <f>('TUSD BE'!$R$12+'TUSD BF'!$R$12+'TUSD CVA'!$R$12)*1</f>
        <v>13.713712064080534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0</v>
      </c>
      <c r="AC12" s="13">
        <f ca="1">('TUSD BE'!$AF$12+'TUSD BF'!$AF$12+'TUSD CVA'!$AF$12)*1</f>
        <v>0</v>
      </c>
      <c r="AD12" s="13">
        <f>('TUSD BE'!$AH$12+'TUSD BF'!$AH$12+'TUSD CVA'!$AH$12)*1</f>
        <v>0.70464628391697415</v>
      </c>
      <c r="AE12" s="13">
        <f>('TUSD BE'!$AI$12+'TUSD BF'!$AI$12+'TUSD CVA'!$AI$12)*1</f>
        <v>2.8476354748969122E-2</v>
      </c>
      <c r="AF12" s="13">
        <f ca="1">('TUSD BE'!$AJ$12+'TUSD BF'!$AJ$12+'TUSD CVA'!$AJ$12)*1</f>
        <v>0</v>
      </c>
      <c r="AG12" s="13">
        <f ca="1">('TUSD BE'!$AK$12+'TUSD BF'!$AK$12+'TUSD CVA'!$AK$12)*1</f>
        <v>0</v>
      </c>
      <c r="AI12" s="13">
        <v>0</v>
      </c>
      <c r="AJ12" s="13">
        <v>0.64489776059956805</v>
      </c>
      <c r="AK12" s="13">
        <v>0</v>
      </c>
      <c r="AL12" s="13">
        <v>0</v>
      </c>
      <c r="AM12" s="13">
        <v>0</v>
      </c>
      <c r="AN12" s="13">
        <v>50.984504088134898</v>
      </c>
      <c r="AO12" s="13">
        <v>9.1393140767248404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0.93799615856712504</v>
      </c>
      <c r="BB12" s="13">
        <v>0</v>
      </c>
      <c r="BC12" s="13">
        <v>0</v>
      </c>
      <c r="BD12" s="13">
        <v>0</v>
      </c>
    </row>
    <row r="13" spans="1:56" ht="11.25" customHeight="1" x14ac:dyDescent="0.3">
      <c r="A13" s="92"/>
      <c r="B13" s="92"/>
      <c r="C13" s="92"/>
      <c r="D13" s="92"/>
      <c r="E13" s="92" t="s">
        <v>80</v>
      </c>
      <c r="F13" s="92" t="s">
        <v>25</v>
      </c>
      <c r="G13" s="24" t="s">
        <v>73</v>
      </c>
      <c r="H13" s="24" t="s">
        <v>72</v>
      </c>
      <c r="I13" s="24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0.84570768507406957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877.78405680775791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1297.5156387057809</v>
      </c>
      <c r="AB13" s="13">
        <f ca="1">('TUSD BE'!$AE$13+'TUSD BF'!$AE$13+'TUSD CVA'!$AE$13)*1</f>
        <v>0</v>
      </c>
      <c r="AC13" s="13">
        <f ca="1">('TUSD BE'!$AF$13+'TUSD BF'!$AF$13+'TUSD CVA'!$AF$13)*1</f>
        <v>0</v>
      </c>
      <c r="AD13" s="13">
        <f>('TUSD BE'!$AH$13+'TUSD BF'!$AH$13+'TUSD CVA'!$AH$13)*1</f>
        <v>0.70464628391697415</v>
      </c>
      <c r="AE13" s="13">
        <f>('TUSD BE'!$AI$13+'TUSD BF'!$AI$13+'TUSD CVA'!$AI$13)*1</f>
        <v>2.8476354748969122E-2</v>
      </c>
      <c r="AF13" s="13">
        <f ca="1">('TUSD BE'!$AJ$13+'TUSD BF'!$AJ$13+'TUSD CVA'!$AJ$13)*1</f>
        <v>0</v>
      </c>
      <c r="AG13" s="13">
        <f ca="1">('TUSD BE'!$AK$13+'TUSD BF'!$AK$13+'TUSD CVA'!$AK$13)*1</f>
        <v>0</v>
      </c>
      <c r="AI13" s="13">
        <v>0</v>
      </c>
      <c r="AJ13" s="13">
        <v>0.64489776059956805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686.423045428877</v>
      </c>
      <c r="AV13" s="13">
        <v>0</v>
      </c>
      <c r="AW13" s="13">
        <v>0</v>
      </c>
      <c r="AX13" s="13">
        <v>819.91329465938497</v>
      </c>
      <c r="AY13" s="13">
        <v>0</v>
      </c>
      <c r="AZ13" s="13">
        <v>0</v>
      </c>
      <c r="BA13" s="13">
        <v>0.93799615856712504</v>
      </c>
      <c r="BB13" s="13">
        <v>0</v>
      </c>
      <c r="BC13" s="13">
        <v>0</v>
      </c>
      <c r="BD13" s="13">
        <v>0</v>
      </c>
    </row>
    <row r="14" spans="1:56" ht="11.25" customHeight="1" x14ac:dyDescent="0.3">
      <c r="A14" s="92"/>
      <c r="B14" s="92"/>
      <c r="C14" s="92"/>
      <c r="D14" s="92"/>
      <c r="E14" s="92"/>
      <c r="F14" s="92"/>
      <c r="G14" s="24" t="s">
        <v>74</v>
      </c>
      <c r="H14" s="24" t="s">
        <v>72</v>
      </c>
      <c r="I14" s="24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0.84570768507406957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0</v>
      </c>
      <c r="AC14" s="13">
        <f ca="1">('TUSD BE'!$AF$14+'TUSD BF'!$AF$14+'TUSD CVA'!$AF$14)*1</f>
        <v>0</v>
      </c>
      <c r="AD14" s="13">
        <f>('TUSD BE'!$AH$14+'TUSD BF'!$AH$14+'TUSD CVA'!$AH$14)*1</f>
        <v>0.70464628391697415</v>
      </c>
      <c r="AE14" s="13">
        <f>('TUSD BE'!$AI$14+'TUSD BF'!$AI$14+'TUSD CVA'!$AI$14)*1</f>
        <v>2.8476354748969122E-2</v>
      </c>
      <c r="AF14" s="13">
        <f ca="1">('TUSD BE'!$AJ$14+'TUSD BF'!$AJ$14+'TUSD CVA'!$AJ$14)*1</f>
        <v>0</v>
      </c>
      <c r="AG14" s="13">
        <f ca="1">('TUSD BE'!$AK$14+'TUSD BF'!$AK$14+'TUSD CVA'!$AK$14)*1</f>
        <v>0</v>
      </c>
      <c r="AI14" s="13">
        <v>0</v>
      </c>
      <c r="AJ14" s="13">
        <v>0.64489776059956805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0.93799615856712504</v>
      </c>
      <c r="BB14" s="13">
        <v>0</v>
      </c>
      <c r="BC14" s="13">
        <v>0</v>
      </c>
      <c r="BD14" s="13">
        <v>0</v>
      </c>
    </row>
    <row r="15" spans="1:56" ht="11.25" customHeight="1" x14ac:dyDescent="0.3">
      <c r="A15" s="92" t="s">
        <v>82</v>
      </c>
      <c r="B15" s="92" t="s">
        <v>81</v>
      </c>
      <c r="C15" s="92" t="s">
        <v>25</v>
      </c>
      <c r="D15" s="92" t="s">
        <v>25</v>
      </c>
      <c r="E15" s="23" t="s">
        <v>83</v>
      </c>
      <c r="F15" s="23" t="s">
        <v>25</v>
      </c>
      <c r="G15" s="24" t="s">
        <v>9</v>
      </c>
      <c r="H15" s="24" t="s">
        <v>76</v>
      </c>
      <c r="I15" s="24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1.0794346283283884E-2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7.0349946545545201</v>
      </c>
      <c r="AB15" s="13">
        <f ca="1">('TUSD BE'!$AE$15+'TUSD BF'!$AE$15+'TUSD CVA'!$AE$15)*1</f>
        <v>0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1.00704532859752E-2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4.4454990062561501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3">
      <c r="A16" s="92"/>
      <c r="B16" s="92"/>
      <c r="C16" s="92"/>
      <c r="D16" s="92"/>
      <c r="E16" s="23" t="s">
        <v>84</v>
      </c>
      <c r="F16" s="23" t="s">
        <v>25</v>
      </c>
      <c r="G16" s="24" t="s">
        <v>9</v>
      </c>
      <c r="H16" s="24" t="s">
        <v>76</v>
      </c>
      <c r="I16" s="24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1.0794346283283884E-2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14.313074530287118</v>
      </c>
      <c r="AB16" s="13">
        <f ca="1">('TUSD BE'!$AE$16+'TUSD BF'!$AE$16+'TUSD CVA'!$AE$16)*1</f>
        <v>0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1.00704532859752E-2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9.0445583212132696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3">
      <c r="A17" s="92" t="s">
        <v>22</v>
      </c>
      <c r="B17" s="92" t="s">
        <v>40</v>
      </c>
      <c r="C17" s="92" t="s">
        <v>24</v>
      </c>
      <c r="D17" s="92" t="s">
        <v>24</v>
      </c>
      <c r="E17" s="92" t="s">
        <v>25</v>
      </c>
      <c r="F17" s="92" t="s">
        <v>25</v>
      </c>
      <c r="G17" s="24" t="s">
        <v>73</v>
      </c>
      <c r="H17" s="24" t="s">
        <v>72</v>
      </c>
      <c r="I17" s="24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1.5239449365137054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87.384107412066015</v>
      </c>
      <c r="R17" s="13">
        <f>('TUSD BE'!$R$17+'TUSD BF'!$R$17+'TUSD CVA'!$R$17)*1</f>
        <v>13.713712064080534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321.36258639925205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606.2371339808094</v>
      </c>
      <c r="AB17" s="13">
        <f ca="1">('TUSD BE'!$AE$17+'TUSD BF'!$AE$17+'TUSD CVA'!$AE$17)*1</f>
        <v>0</v>
      </c>
      <c r="AC17" s="13">
        <f ca="1">('TUSD BE'!$AF$17+'TUSD BF'!$AF$17+'TUSD CVA'!$AF$17)*1</f>
        <v>0</v>
      </c>
      <c r="AD17" s="13">
        <f>('TUSD BE'!$AH$17+'TUSD BF'!$AH$17+'TUSD CVA'!$AH$17)*1</f>
        <v>1.8249227805523367</v>
      </c>
      <c r="AE17" s="13">
        <f>('TUSD BE'!$AI$17+'TUSD BF'!$AI$17+'TUSD CVA'!$AI$17)*1</f>
        <v>7.3749269207253165E-2</v>
      </c>
      <c r="AF17" s="13">
        <f ca="1">('TUSD BE'!$AJ$17+'TUSD BF'!$AJ$17+'TUSD CVA'!$AJ$17)*1</f>
        <v>0</v>
      </c>
      <c r="AG17" s="13">
        <f ca="1">('TUSD BE'!$AK$17+'TUSD BF'!$AK$17+'TUSD CVA'!$AK$17)*1</f>
        <v>0</v>
      </c>
      <c r="AI17" s="13">
        <v>0</v>
      </c>
      <c r="AJ17" s="13">
        <v>1.1006393741079299</v>
      </c>
      <c r="AK17" s="13">
        <v>0</v>
      </c>
      <c r="AL17" s="13">
        <v>0</v>
      </c>
      <c r="AM17" s="13">
        <v>0</v>
      </c>
      <c r="AN17" s="13">
        <v>58.602878262224003</v>
      </c>
      <c r="AO17" s="13">
        <v>9.1393140767248404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251.30408720779101</v>
      </c>
      <c r="AV17" s="13">
        <v>0</v>
      </c>
      <c r="AW17" s="13">
        <v>0</v>
      </c>
      <c r="AX17" s="13">
        <v>383.08739866976299</v>
      </c>
      <c r="AY17" s="13">
        <v>0</v>
      </c>
      <c r="AZ17" s="13">
        <v>0</v>
      </c>
      <c r="BA17" s="13">
        <v>2.4294441992795401</v>
      </c>
      <c r="BB17" s="13">
        <v>0</v>
      </c>
      <c r="BC17" s="13">
        <v>0</v>
      </c>
      <c r="BD17" s="13">
        <v>0</v>
      </c>
    </row>
    <row r="18" spans="1:56" ht="11.25" customHeight="1" x14ac:dyDescent="0.3">
      <c r="A18" s="92"/>
      <c r="B18" s="92"/>
      <c r="C18" s="92"/>
      <c r="D18" s="92"/>
      <c r="E18" s="92"/>
      <c r="F18" s="92"/>
      <c r="G18" s="24" t="s">
        <v>85</v>
      </c>
      <c r="H18" s="24" t="s">
        <v>72</v>
      </c>
      <c r="I18" s="24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1.5239449365137054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87.384107412066015</v>
      </c>
      <c r="R18" s="13">
        <f>('TUSD BE'!$R$18+'TUSD BF'!$R$18+'TUSD CVA'!$R$18)*1</f>
        <v>13.713712064080534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192.81765839999426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363.7424402545426</v>
      </c>
      <c r="AB18" s="13">
        <f ca="1">('TUSD BE'!$AE$18+'TUSD BF'!$AE$18+'TUSD CVA'!$AE$18)*1</f>
        <v>0</v>
      </c>
      <c r="AC18" s="13">
        <f ca="1">('TUSD BE'!$AF$18+'TUSD BF'!$AF$18+'TUSD CVA'!$AF$18)*1</f>
        <v>0</v>
      </c>
      <c r="AD18" s="13">
        <f>('TUSD BE'!$AH$18+'TUSD BF'!$AH$18+'TUSD CVA'!$AH$18)*1</f>
        <v>1.8249227805523367</v>
      </c>
      <c r="AE18" s="13">
        <f>('TUSD BE'!$AI$18+'TUSD BF'!$AI$18+'TUSD CVA'!$AI$18)*1</f>
        <v>7.3749269207253165E-2</v>
      </c>
      <c r="AF18" s="13">
        <f ca="1">('TUSD BE'!$AJ$18+'TUSD BF'!$AJ$18+'TUSD CVA'!$AJ$18)*1</f>
        <v>0</v>
      </c>
      <c r="AG18" s="13">
        <f ca="1">('TUSD BE'!$AK$18+'TUSD BF'!$AK$18+'TUSD CVA'!$AK$18)*1</f>
        <v>0</v>
      </c>
      <c r="AI18" s="13">
        <v>0</v>
      </c>
      <c r="AJ18" s="13">
        <v>1.1006393741079299</v>
      </c>
      <c r="AK18" s="13">
        <v>0</v>
      </c>
      <c r="AL18" s="13">
        <v>0</v>
      </c>
      <c r="AM18" s="13">
        <v>0</v>
      </c>
      <c r="AN18" s="13">
        <v>58.602878262224003</v>
      </c>
      <c r="AO18" s="13">
        <v>9.1393140767248404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150.78247164666999</v>
      </c>
      <c r="AV18" s="13">
        <v>0</v>
      </c>
      <c r="AW18" s="13">
        <v>0</v>
      </c>
      <c r="AX18" s="13">
        <v>229.85254129695599</v>
      </c>
      <c r="AY18" s="13">
        <v>0</v>
      </c>
      <c r="AZ18" s="13">
        <v>0</v>
      </c>
      <c r="BA18" s="13">
        <v>2.4294441992795401</v>
      </c>
      <c r="BB18" s="13">
        <v>0</v>
      </c>
      <c r="BC18" s="13">
        <v>0</v>
      </c>
      <c r="BD18" s="13">
        <v>0</v>
      </c>
    </row>
    <row r="19" spans="1:56" ht="11.25" customHeight="1" x14ac:dyDescent="0.3">
      <c r="A19" s="92"/>
      <c r="B19" s="92"/>
      <c r="C19" s="92"/>
      <c r="D19" s="92"/>
      <c r="E19" s="92"/>
      <c r="F19" s="92"/>
      <c r="G19" s="24" t="s">
        <v>74</v>
      </c>
      <c r="H19" s="24" t="s">
        <v>72</v>
      </c>
      <c r="I19" s="24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1.5239449365137054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87.384107412066015</v>
      </c>
      <c r="R19" s="13">
        <f>('TUSD BE'!$R$19+'TUSD BF'!$R$19+'TUSD CVA'!$R$19)*1</f>
        <v>13.713712064080534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64.331205443834463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121.24730245589529</v>
      </c>
      <c r="AB19" s="13">
        <f ca="1">('TUSD BE'!$AE$19+'TUSD BF'!$AE$19+'TUSD CVA'!$AE$19)*1</f>
        <v>0</v>
      </c>
      <c r="AC19" s="13">
        <f ca="1">('TUSD BE'!$AF$19+'TUSD BF'!$AF$19+'TUSD CVA'!$AF$19)*1</f>
        <v>0</v>
      </c>
      <c r="AD19" s="13">
        <f>('TUSD BE'!$AH$19+'TUSD BF'!$AH$19+'TUSD CVA'!$AH$19)*1</f>
        <v>1.8249227805523367</v>
      </c>
      <c r="AE19" s="13">
        <f>('TUSD BE'!$AI$19+'TUSD BF'!$AI$19+'TUSD CVA'!$AI$19)*1</f>
        <v>7.3749269207253165E-2</v>
      </c>
      <c r="AF19" s="13">
        <f ca="1">('TUSD BE'!$AJ$19+'TUSD BF'!$AJ$19+'TUSD CVA'!$AJ$19)*1</f>
        <v>0</v>
      </c>
      <c r="AG19" s="13">
        <f ca="1">('TUSD BE'!$AK$19+'TUSD BF'!$AK$19+'TUSD CVA'!$AK$19)*1</f>
        <v>0</v>
      </c>
      <c r="AI19" s="13">
        <v>0</v>
      </c>
      <c r="AJ19" s="13">
        <v>1.1006393741079299</v>
      </c>
      <c r="AK19" s="13">
        <v>0</v>
      </c>
      <c r="AL19" s="13">
        <v>0</v>
      </c>
      <c r="AM19" s="13">
        <v>0</v>
      </c>
      <c r="AN19" s="13">
        <v>58.602878262224003</v>
      </c>
      <c r="AO19" s="13">
        <v>9.1393140767248404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50.3067458233458</v>
      </c>
      <c r="AV19" s="13">
        <v>0</v>
      </c>
      <c r="AW19" s="13">
        <v>0</v>
      </c>
      <c r="AX19" s="13">
        <v>76.617405482972401</v>
      </c>
      <c r="AY19" s="13">
        <v>0</v>
      </c>
      <c r="AZ19" s="13">
        <v>0</v>
      </c>
      <c r="BA19" s="13">
        <v>2.4294441992795401</v>
      </c>
      <c r="BB19" s="13">
        <v>0</v>
      </c>
      <c r="BC19" s="13">
        <v>0</v>
      </c>
      <c r="BD19" s="13">
        <v>0</v>
      </c>
    </row>
    <row r="20" spans="1:56" ht="11.25" customHeight="1" x14ac:dyDescent="0.3">
      <c r="A20" s="92"/>
      <c r="B20" s="92" t="s">
        <v>23</v>
      </c>
      <c r="C20" s="92" t="s">
        <v>24</v>
      </c>
      <c r="D20" s="23" t="s">
        <v>24</v>
      </c>
      <c r="E20" s="23" t="s">
        <v>25</v>
      </c>
      <c r="F20" s="23" t="s">
        <v>25</v>
      </c>
      <c r="G20" s="24" t="s">
        <v>79</v>
      </c>
      <c r="H20" s="24" t="s">
        <v>72</v>
      </c>
      <c r="I20" s="24">
        <f>'MERCADO TUSD'!$U$17</f>
        <v>5913.8329999999996</v>
      </c>
      <c r="J20" s="15"/>
      <c r="L20" s="13">
        <f>('TUSD BE'!$L$20+'TUSD BF'!$L$20+'TUSD CVA'!$L$20)*1</f>
        <v>0</v>
      </c>
      <c r="M20" s="13">
        <f>('TUSD BE'!$M$20+'TUSD BF'!$M$20+'TUSD CVA'!$M$20)*1</f>
        <v>1.5239449365137054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87.384107412066015</v>
      </c>
      <c r="R20" s="13">
        <f>('TUSD BE'!$R$20+'TUSD BF'!$R$20+'TUSD CVA'!$R$20)*1</f>
        <v>13.713712064080534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118.96887378877022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224.53232118611984</v>
      </c>
      <c r="AB20" s="13">
        <f ca="1">('TUSD BE'!$AE$20+'TUSD BF'!$AE$20+'TUSD CVA'!$AE$20)*1</f>
        <v>0</v>
      </c>
      <c r="AC20" s="13">
        <f ca="1">('TUSD BE'!$AF$20+'TUSD BF'!$AF$20+'TUSD CVA'!$AF$20)*1</f>
        <v>0</v>
      </c>
      <c r="AD20" s="13">
        <f>('TUSD BE'!$AH$20+'TUSD BF'!$AH$20+'TUSD CVA'!$AH$20)*1</f>
        <v>1.8249227805523367</v>
      </c>
      <c r="AE20" s="13">
        <f>('TUSD BE'!$AI$20+'TUSD BF'!$AI$20+'TUSD CVA'!$AI$20)*1</f>
        <v>7.3749269207253165E-2</v>
      </c>
      <c r="AF20" s="13">
        <f ca="1">('TUSD BE'!$AJ$20+'TUSD BF'!$AJ$20+'TUSD CVA'!$AJ$20)*1</f>
        <v>0</v>
      </c>
      <c r="AG20" s="13">
        <f ca="1">('TUSD BE'!$AK$20+'TUSD BF'!$AK$20+'TUSD CVA'!$AK$20)*1</f>
        <v>0</v>
      </c>
      <c r="AI20" s="13">
        <v>0</v>
      </c>
      <c r="AJ20" s="13">
        <v>1.1006393741079299</v>
      </c>
      <c r="AK20" s="13">
        <v>0</v>
      </c>
      <c r="AL20" s="13">
        <v>0</v>
      </c>
      <c r="AM20" s="13">
        <v>0</v>
      </c>
      <c r="AN20" s="13">
        <v>58.602878262224003</v>
      </c>
      <c r="AO20" s="13">
        <v>9.1393140767248404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93.033086622334906</v>
      </c>
      <c r="AV20" s="13">
        <v>0</v>
      </c>
      <c r="AW20" s="13">
        <v>0</v>
      </c>
      <c r="AX20" s="13">
        <v>141.88424922990501</v>
      </c>
      <c r="AY20" s="13">
        <v>0</v>
      </c>
      <c r="AZ20" s="13">
        <v>0</v>
      </c>
      <c r="BA20" s="13">
        <v>2.4294441992795401</v>
      </c>
      <c r="BB20" s="13">
        <v>0</v>
      </c>
      <c r="BC20" s="13">
        <v>0</v>
      </c>
      <c r="BD20" s="13">
        <v>0</v>
      </c>
    </row>
    <row r="21" spans="1:56" ht="11.25" customHeight="1" x14ac:dyDescent="0.3">
      <c r="A21" s="92"/>
      <c r="B21" s="92"/>
      <c r="C21" s="92"/>
      <c r="D21" s="23" t="s">
        <v>29</v>
      </c>
      <c r="E21" s="23" t="s">
        <v>25</v>
      </c>
      <c r="F21" s="23" t="s">
        <v>25</v>
      </c>
      <c r="G21" s="24" t="s">
        <v>79</v>
      </c>
      <c r="H21" s="24" t="s">
        <v>72</v>
      </c>
      <c r="I21" s="24">
        <f>'MERCADO TUSD'!$U$18</f>
        <v>78.629000000000005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0.53338072777979684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41.639105826069574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78.586312415141947</v>
      </c>
      <c r="AB21" s="13">
        <f ca="1">('TUSD BE'!$AE$21+'TUSD BF'!$AE$21+'TUSD CVA'!$AE$21)*(1 - 0.65)</f>
        <v>0</v>
      </c>
      <c r="AC21" s="13">
        <f ca="1">('TUSD BE'!$AF$21+'TUSD BF'!$AF$21+'TUSD CVA'!$AF$21)*(1 - 0.65)</f>
        <v>0</v>
      </c>
      <c r="AD21" s="13">
        <f>('TUSD BE'!$AH$21+'TUSD BF'!$AH$21+'TUSD CVA'!$AH$21)*(1 - 0.65)</f>
        <v>0.63872297319331783</v>
      </c>
      <c r="AE21" s="13">
        <f>('TUSD BE'!$AI$21+'TUSD BF'!$AI$21+'TUSD CVA'!$AI$21)*(1 - 0.65)</f>
        <v>2.5812244222538607E-2</v>
      </c>
      <c r="AF21" s="13">
        <f ca="1">('TUSD BE'!$AJ$21+'TUSD BF'!$AJ$21+'TUSD CVA'!$AJ$21)*(1 - 0.65)</f>
        <v>0</v>
      </c>
      <c r="AG21" s="13">
        <f ca="1">('TUSD BE'!$AK$21+'TUSD BF'!$AK$21+'TUSD CVA'!$AK$21)*(1 - 0.65)</f>
        <v>0</v>
      </c>
      <c r="AI21" s="13">
        <v>0</v>
      </c>
      <c r="AJ21" s="13">
        <v>0.38522378093777598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32.561580317817203</v>
      </c>
      <c r="AV21" s="13">
        <v>0</v>
      </c>
      <c r="AW21" s="13">
        <v>0</v>
      </c>
      <c r="AX21" s="13">
        <v>49.659487230466802</v>
      </c>
      <c r="AY21" s="13">
        <v>0</v>
      </c>
      <c r="AZ21" s="13">
        <v>0</v>
      </c>
      <c r="BA21" s="13">
        <v>0.85030546974783905</v>
      </c>
      <c r="BB21" s="13">
        <v>0</v>
      </c>
      <c r="BC21" s="13">
        <v>0</v>
      </c>
      <c r="BD21" s="13">
        <v>0</v>
      </c>
    </row>
    <row r="22" spans="1:56" ht="11.25" customHeight="1" x14ac:dyDescent="0.3">
      <c r="A22" s="92"/>
      <c r="B22" s="92"/>
      <c r="C22" s="92"/>
      <c r="D22" s="23" t="s">
        <v>30</v>
      </c>
      <c r="E22" s="23" t="s">
        <v>25</v>
      </c>
      <c r="F22" s="23" t="s">
        <v>25</v>
      </c>
      <c r="G22" s="24" t="s">
        <v>79</v>
      </c>
      <c r="H22" s="24" t="s">
        <v>72</v>
      </c>
      <c r="I22" s="24">
        <f>'MERCADO TUSD'!$U$19</f>
        <v>159.86900000000003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0.9143669619082232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71.381324273262138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134.7193927116719</v>
      </c>
      <c r="AB22" s="13">
        <f ca="1">('TUSD BE'!$AE$22+'TUSD BF'!$AE$22+'TUSD CVA'!$AE$22)*(1 - 0.4)</f>
        <v>0</v>
      </c>
      <c r="AC22" s="13">
        <f ca="1">('TUSD BE'!$AF$22+'TUSD BF'!$AF$22+'TUSD CVA'!$AF$22)*(1 - 0.4)</f>
        <v>0</v>
      </c>
      <c r="AD22" s="13">
        <f>('TUSD BE'!$AH$22+'TUSD BF'!$AH$22+'TUSD CVA'!$AH$22)*(1 - 0.4)</f>
        <v>1.0949536683314021</v>
      </c>
      <c r="AE22" s="13">
        <f>('TUSD BE'!$AI$22+'TUSD BF'!$AI$22+'TUSD CVA'!$AI$22)*(1 - 0.4)</f>
        <v>4.4249561524351895E-2</v>
      </c>
      <c r="AF22" s="13">
        <f ca="1">('TUSD BE'!$AJ$22+'TUSD BF'!$AJ$22+'TUSD CVA'!$AJ$22)*(1 - 0.4)</f>
        <v>0</v>
      </c>
      <c r="AG22" s="13">
        <f ca="1">('TUSD BE'!$AK$22+'TUSD BF'!$AK$22+'TUSD CVA'!$AK$22)*(1 - 0.4)</f>
        <v>0</v>
      </c>
      <c r="AI22" s="13">
        <v>0</v>
      </c>
      <c r="AJ22" s="13">
        <v>0.66038362446475796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55.819851973401001</v>
      </c>
      <c r="AV22" s="13">
        <v>0</v>
      </c>
      <c r="AW22" s="13">
        <v>0</v>
      </c>
      <c r="AX22" s="13">
        <v>85.130549537943097</v>
      </c>
      <c r="AY22" s="13">
        <v>0</v>
      </c>
      <c r="AZ22" s="13">
        <v>0</v>
      </c>
      <c r="BA22" s="13">
        <v>1.4576665195677201</v>
      </c>
      <c r="BB22" s="13">
        <v>0</v>
      </c>
      <c r="BC22" s="13">
        <v>0</v>
      </c>
      <c r="BD22" s="13">
        <v>0</v>
      </c>
    </row>
    <row r="23" spans="1:56" ht="11.25" customHeight="1" x14ac:dyDescent="0.3">
      <c r="A23" s="92"/>
      <c r="B23" s="92"/>
      <c r="C23" s="92"/>
      <c r="D23" s="23" t="s">
        <v>31</v>
      </c>
      <c r="E23" s="23" t="s">
        <v>25</v>
      </c>
      <c r="F23" s="23" t="s">
        <v>25</v>
      </c>
      <c r="G23" s="24" t="s">
        <v>79</v>
      </c>
      <c r="H23" s="24" t="s">
        <v>72</v>
      </c>
      <c r="I23" s="24">
        <f>'MERCADO TUSD'!$U$20</f>
        <v>149.93899999999999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1.3715504428623349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107.0719864098932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202.07908906750785</v>
      </c>
      <c r="AB23" s="13">
        <f ca="1">('TUSD BE'!$AE$23+'TUSD BF'!$AE$23+'TUSD CVA'!$AE$23)*(1 - 0.1)</f>
        <v>0</v>
      </c>
      <c r="AC23" s="13">
        <f ca="1">('TUSD BE'!$AF$23+'TUSD BF'!$AF$23+'TUSD CVA'!$AF$23)*(1 - 0.1)</f>
        <v>0</v>
      </c>
      <c r="AD23" s="13">
        <f>('TUSD BE'!$AH$23+'TUSD BF'!$AH$23+'TUSD CVA'!$AH$23)*(1 - 0.1)</f>
        <v>1.6424305024971031</v>
      </c>
      <c r="AE23" s="13">
        <f>('TUSD BE'!$AI$23+'TUSD BF'!$AI$23+'TUSD CVA'!$AI$23)*(1 - 0.1)</f>
        <v>6.6374342286527846E-2</v>
      </c>
      <c r="AF23" s="13">
        <f ca="1">('TUSD BE'!$AJ$23+'TUSD BF'!$AJ$23+'TUSD CVA'!$AJ$23)*(1 - 0.1)</f>
        <v>0</v>
      </c>
      <c r="AG23" s="13">
        <f ca="1">('TUSD BE'!$AK$23+'TUSD BF'!$AK$23+'TUSD CVA'!$AK$23)*(1 - 0.1)</f>
        <v>0</v>
      </c>
      <c r="AI23" s="13">
        <v>0</v>
      </c>
      <c r="AJ23" s="13">
        <v>0.99057543669713799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83.729777960101401</v>
      </c>
      <c r="AV23" s="13">
        <v>0</v>
      </c>
      <c r="AW23" s="13">
        <v>0</v>
      </c>
      <c r="AX23" s="13">
        <v>127.695824306915</v>
      </c>
      <c r="AY23" s="13">
        <v>0</v>
      </c>
      <c r="AZ23" s="13">
        <v>0</v>
      </c>
      <c r="BA23" s="13">
        <v>2.1864997793515899</v>
      </c>
      <c r="BB23" s="13">
        <v>0</v>
      </c>
      <c r="BC23" s="13">
        <v>0</v>
      </c>
      <c r="BD23" s="13">
        <v>0</v>
      </c>
    </row>
    <row r="24" spans="1:56" ht="11.25" customHeight="1" x14ac:dyDescent="0.3">
      <c r="A24" s="92"/>
      <c r="B24" s="92"/>
      <c r="C24" s="92"/>
      <c r="D24" s="23" t="s">
        <v>32</v>
      </c>
      <c r="E24" s="23" t="s">
        <v>25</v>
      </c>
      <c r="F24" s="23" t="s">
        <v>25</v>
      </c>
      <c r="G24" s="24" t="s">
        <v>79</v>
      </c>
      <c r="H24" s="24" t="s">
        <v>72</v>
      </c>
      <c r="I24" s="24">
        <f>'MERCADO TUSD'!$U$21</f>
        <v>50.329000000000001</v>
      </c>
      <c r="J24" s="15"/>
      <c r="L24" s="13">
        <f>('TUSD BE'!$L$24+'TUSD BF'!$L$24+'TUSD CVA'!$L$24)*1</f>
        <v>0</v>
      </c>
      <c r="M24" s="13">
        <f>('TUSD BE'!$M$24+'TUSD BF'!$M$24+'TUSD CVA'!$M$24)*1</f>
        <v>1.5239449365137054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118.96887378877022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224.53232118611984</v>
      </c>
      <c r="AB24" s="13">
        <f ca="1">('TUSD BE'!$AE$24+'TUSD BF'!$AE$24+'TUSD CVA'!$AE$24)*1</f>
        <v>0</v>
      </c>
      <c r="AC24" s="13">
        <f ca="1">('TUSD BE'!$AF$24+'TUSD BF'!$AF$24+'TUSD CVA'!$AF$24)*1</f>
        <v>0</v>
      </c>
      <c r="AD24" s="13">
        <f>('TUSD BE'!$AH$24+'TUSD BF'!$AH$24+'TUSD CVA'!$AH$24)*1</f>
        <v>1.8249227805523367</v>
      </c>
      <c r="AE24" s="13">
        <f>('TUSD BE'!$AI$24+'TUSD BF'!$AI$24+'TUSD CVA'!$AI$24)*1</f>
        <v>7.3749269207253165E-2</v>
      </c>
      <c r="AF24" s="13">
        <f ca="1">('TUSD BE'!$AJ$24+'TUSD BF'!$AJ$24+'TUSD CVA'!$AJ$24)*1</f>
        <v>0</v>
      </c>
      <c r="AG24" s="13">
        <f ca="1">('TUSD BE'!$AK$24+'TUSD BF'!$AK$24+'TUSD CVA'!$AK$24)*1</f>
        <v>0</v>
      </c>
      <c r="AI24" s="13">
        <v>0</v>
      </c>
      <c r="AJ24" s="13">
        <v>1.1006393741079299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93.033086622334906</v>
      </c>
      <c r="AV24" s="13">
        <v>0</v>
      </c>
      <c r="AW24" s="13">
        <v>0</v>
      </c>
      <c r="AX24" s="13">
        <v>141.88424922990501</v>
      </c>
      <c r="AY24" s="13">
        <v>0</v>
      </c>
      <c r="AZ24" s="13">
        <v>0</v>
      </c>
      <c r="BA24" s="13">
        <v>2.4294441992795401</v>
      </c>
      <c r="BB24" s="13">
        <v>0</v>
      </c>
      <c r="BC24" s="13">
        <v>0</v>
      </c>
      <c r="BD24" s="13">
        <v>0</v>
      </c>
    </row>
    <row r="25" spans="1:56" ht="11.25" customHeight="1" x14ac:dyDescent="0.3">
      <c r="A25" s="92"/>
      <c r="B25" s="92" t="s">
        <v>88</v>
      </c>
      <c r="C25" s="92" t="s">
        <v>24</v>
      </c>
      <c r="D25" s="23" t="s">
        <v>24</v>
      </c>
      <c r="E25" s="23" t="s">
        <v>25</v>
      </c>
      <c r="F25" s="23" t="s">
        <v>25</v>
      </c>
      <c r="G25" s="24" t="s">
        <v>79</v>
      </c>
      <c r="H25" s="24" t="s">
        <v>72</v>
      </c>
      <c r="I25" s="24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1.5239449365137054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87.384107412066015</v>
      </c>
      <c r="R25" s="13">
        <f>('TUSD BE'!$R$25+'TUSD BF'!$R$25+'TUSD CVA'!$R$25)*1</f>
        <v>13.713712064080534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118.96887378877022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224.53232118611984</v>
      </c>
      <c r="AB25" s="13">
        <f ca="1">('TUSD BE'!$AE$25+'TUSD BF'!$AE$25+'TUSD CVA'!$AE$25)*1</f>
        <v>0</v>
      </c>
      <c r="AC25" s="13">
        <f ca="1">('TUSD BE'!$AF$25+'TUSD BF'!$AF$25+'TUSD CVA'!$AF$25)*1</f>
        <v>0</v>
      </c>
      <c r="AD25" s="13">
        <f>('TUSD BE'!$AH$25+'TUSD BF'!$AH$25+'TUSD CVA'!$AH$25)*1</f>
        <v>1.8249227805523367</v>
      </c>
      <c r="AE25" s="13">
        <f>('TUSD BE'!$AI$25+'TUSD BF'!$AI$25+'TUSD CVA'!$AI$25)*1</f>
        <v>7.3749269207253165E-2</v>
      </c>
      <c r="AF25" s="13">
        <f ca="1">('TUSD BE'!$AJ$25+'TUSD BF'!$AJ$25+'TUSD CVA'!$AJ$25)*1</f>
        <v>0</v>
      </c>
      <c r="AG25" s="13">
        <f ca="1">('TUSD BE'!$AK$25+'TUSD BF'!$AK$25+'TUSD CVA'!$AK$25)*1</f>
        <v>0</v>
      </c>
      <c r="AI25" s="13">
        <v>0</v>
      </c>
      <c r="AJ25" s="13">
        <v>1.1006393741079299</v>
      </c>
      <c r="AK25" s="13">
        <v>0</v>
      </c>
      <c r="AL25" s="13">
        <v>0</v>
      </c>
      <c r="AM25" s="13">
        <v>0</v>
      </c>
      <c r="AN25" s="13">
        <v>58.602878262224003</v>
      </c>
      <c r="AO25" s="13">
        <v>9.1393140767248404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93.033086622334906</v>
      </c>
      <c r="AV25" s="13">
        <v>0</v>
      </c>
      <c r="AW25" s="13">
        <v>0</v>
      </c>
      <c r="AX25" s="13">
        <v>141.88424922990501</v>
      </c>
      <c r="AY25" s="13">
        <v>0</v>
      </c>
      <c r="AZ25" s="13">
        <v>0</v>
      </c>
      <c r="BA25" s="13">
        <v>2.4294441992795401</v>
      </c>
      <c r="BB25" s="13">
        <v>0</v>
      </c>
      <c r="BC25" s="13">
        <v>0</v>
      </c>
      <c r="BD25" s="13">
        <v>0</v>
      </c>
    </row>
    <row r="26" spans="1:56" ht="11.25" customHeight="1" x14ac:dyDescent="0.3">
      <c r="A26" s="92"/>
      <c r="B26" s="92"/>
      <c r="C26" s="92"/>
      <c r="D26" s="23" t="s">
        <v>29</v>
      </c>
      <c r="E26" s="23" t="s">
        <v>25</v>
      </c>
      <c r="F26" s="23" t="s">
        <v>25</v>
      </c>
      <c r="G26" s="24" t="s">
        <v>79</v>
      </c>
      <c r="H26" s="24" t="s">
        <v>72</v>
      </c>
      <c r="I26" s="24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0.53338072777979684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41.639105826069574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78.586312415141947</v>
      </c>
      <c r="AB26" s="13">
        <f ca="1">('TUSD BE'!$AE$26+'TUSD BF'!$AE$26+'TUSD CVA'!$AE$26)*(1 - 0.65)</f>
        <v>0</v>
      </c>
      <c r="AC26" s="13">
        <f ca="1">('TUSD BE'!$AF$26+'TUSD BF'!$AF$26+'TUSD CVA'!$AF$26)*(1 - 0.65)</f>
        <v>0</v>
      </c>
      <c r="AD26" s="13">
        <f>('TUSD BE'!$AH$26+'TUSD BF'!$AH$26+'TUSD CVA'!$AH$26)*(1 - 0.65)</f>
        <v>0.63872297319331783</v>
      </c>
      <c r="AE26" s="13">
        <f>('TUSD BE'!$AI$26+'TUSD BF'!$AI$26+'TUSD CVA'!$AI$26)*(1 - 0.65)</f>
        <v>2.5812244222538607E-2</v>
      </c>
      <c r="AF26" s="13">
        <f ca="1">('TUSD BE'!$AJ$26+'TUSD BF'!$AJ$26+'TUSD CVA'!$AJ$26)*(1 - 0.65)</f>
        <v>0</v>
      </c>
      <c r="AG26" s="13">
        <f ca="1">('TUSD BE'!$AK$26+'TUSD BF'!$AK$26+'TUSD CVA'!$AK$26)*(1 - 0.65)</f>
        <v>0</v>
      </c>
      <c r="AI26" s="13">
        <v>0</v>
      </c>
      <c r="AJ26" s="13">
        <v>0.38522378093777598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32.561580317817203</v>
      </c>
      <c r="AV26" s="13">
        <v>0</v>
      </c>
      <c r="AW26" s="13">
        <v>0</v>
      </c>
      <c r="AX26" s="13">
        <v>49.659487230466802</v>
      </c>
      <c r="AY26" s="13">
        <v>0</v>
      </c>
      <c r="AZ26" s="13">
        <v>0</v>
      </c>
      <c r="BA26" s="13">
        <v>0.85030546974783905</v>
      </c>
      <c r="BB26" s="13">
        <v>0</v>
      </c>
      <c r="BC26" s="13">
        <v>0</v>
      </c>
      <c r="BD26" s="13">
        <v>0</v>
      </c>
    </row>
    <row r="27" spans="1:56" ht="11.25" customHeight="1" x14ac:dyDescent="0.3">
      <c r="A27" s="92"/>
      <c r="B27" s="92"/>
      <c r="C27" s="92"/>
      <c r="D27" s="23" t="s">
        <v>30</v>
      </c>
      <c r="E27" s="23" t="s">
        <v>25</v>
      </c>
      <c r="F27" s="23" t="s">
        <v>25</v>
      </c>
      <c r="G27" s="24" t="s">
        <v>79</v>
      </c>
      <c r="H27" s="24" t="s">
        <v>72</v>
      </c>
      <c r="I27" s="24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0.9143669619082232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71.381324273262138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134.7193927116719</v>
      </c>
      <c r="AB27" s="13">
        <f ca="1">('TUSD BE'!$AE$27+'TUSD BF'!$AE$27+'TUSD CVA'!$AE$27)*(1 - 0.4)</f>
        <v>0</v>
      </c>
      <c r="AC27" s="13">
        <f ca="1">('TUSD BE'!$AF$27+'TUSD BF'!$AF$27+'TUSD CVA'!$AF$27)*(1 - 0.4)</f>
        <v>0</v>
      </c>
      <c r="AD27" s="13">
        <f>('TUSD BE'!$AH$27+'TUSD BF'!$AH$27+'TUSD CVA'!$AH$27)*(1 - 0.4)</f>
        <v>1.0949536683314021</v>
      </c>
      <c r="AE27" s="13">
        <f>('TUSD BE'!$AI$27+'TUSD BF'!$AI$27+'TUSD CVA'!$AI$27)*(1 - 0.4)</f>
        <v>4.4249561524351895E-2</v>
      </c>
      <c r="AF27" s="13">
        <f ca="1">('TUSD BE'!$AJ$27+'TUSD BF'!$AJ$27+'TUSD CVA'!$AJ$27)*(1 - 0.4)</f>
        <v>0</v>
      </c>
      <c r="AG27" s="13">
        <f ca="1">('TUSD BE'!$AK$27+'TUSD BF'!$AK$27+'TUSD CVA'!$AK$27)*(1 - 0.4)</f>
        <v>0</v>
      </c>
      <c r="AI27" s="13">
        <v>0</v>
      </c>
      <c r="AJ27" s="13">
        <v>0.66038362446475796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55.819851973401001</v>
      </c>
      <c r="AV27" s="13">
        <v>0</v>
      </c>
      <c r="AW27" s="13">
        <v>0</v>
      </c>
      <c r="AX27" s="13">
        <v>85.130549537943097</v>
      </c>
      <c r="AY27" s="13">
        <v>0</v>
      </c>
      <c r="AZ27" s="13">
        <v>0</v>
      </c>
      <c r="BA27" s="13">
        <v>1.4576665195677201</v>
      </c>
      <c r="BB27" s="13">
        <v>0</v>
      </c>
      <c r="BC27" s="13">
        <v>0</v>
      </c>
      <c r="BD27" s="13">
        <v>0</v>
      </c>
    </row>
    <row r="28" spans="1:56" ht="11.25" customHeight="1" x14ac:dyDescent="0.3">
      <c r="A28" s="92"/>
      <c r="B28" s="92"/>
      <c r="C28" s="92"/>
      <c r="D28" s="23" t="s">
        <v>31</v>
      </c>
      <c r="E28" s="23" t="s">
        <v>25</v>
      </c>
      <c r="F28" s="23" t="s">
        <v>25</v>
      </c>
      <c r="G28" s="24" t="s">
        <v>79</v>
      </c>
      <c r="H28" s="24" t="s">
        <v>72</v>
      </c>
      <c r="I28" s="24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1.3715504428623349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107.0719864098932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202.07908906750785</v>
      </c>
      <c r="AB28" s="13">
        <f ca="1">('TUSD BE'!$AE$28+'TUSD BF'!$AE$28+'TUSD CVA'!$AE$28)*(1 - 0.1)</f>
        <v>0</v>
      </c>
      <c r="AC28" s="13">
        <f ca="1">('TUSD BE'!$AF$28+'TUSD BF'!$AF$28+'TUSD CVA'!$AF$28)*(1 - 0.1)</f>
        <v>0</v>
      </c>
      <c r="AD28" s="13">
        <f>('TUSD BE'!$AH$28+'TUSD BF'!$AH$28+'TUSD CVA'!$AH$28)*(1 - 0.1)</f>
        <v>1.6424305024971031</v>
      </c>
      <c r="AE28" s="13">
        <f>('TUSD BE'!$AI$28+'TUSD BF'!$AI$28+'TUSD CVA'!$AI$28)*(1 - 0.1)</f>
        <v>6.6374342286527846E-2</v>
      </c>
      <c r="AF28" s="13">
        <f ca="1">('TUSD BE'!$AJ$28+'TUSD BF'!$AJ$28+'TUSD CVA'!$AJ$28)*(1 - 0.1)</f>
        <v>0</v>
      </c>
      <c r="AG28" s="13">
        <f ca="1">('TUSD BE'!$AK$28+'TUSD BF'!$AK$28+'TUSD CVA'!$AK$28)*(1 - 0.1)</f>
        <v>0</v>
      </c>
      <c r="AI28" s="13">
        <v>0</v>
      </c>
      <c r="AJ28" s="13">
        <v>0.99057543669713799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83.729777960101401</v>
      </c>
      <c r="AV28" s="13">
        <v>0</v>
      </c>
      <c r="AW28" s="13">
        <v>0</v>
      </c>
      <c r="AX28" s="13">
        <v>127.695824306915</v>
      </c>
      <c r="AY28" s="13">
        <v>0</v>
      </c>
      <c r="AZ28" s="13">
        <v>0</v>
      </c>
      <c r="BA28" s="13">
        <v>2.1864997793515899</v>
      </c>
      <c r="BB28" s="13">
        <v>0</v>
      </c>
      <c r="BC28" s="13">
        <v>0</v>
      </c>
      <c r="BD28" s="13">
        <v>0</v>
      </c>
    </row>
    <row r="29" spans="1:56" ht="11.25" customHeight="1" x14ac:dyDescent="0.3">
      <c r="A29" s="92"/>
      <c r="B29" s="92"/>
      <c r="C29" s="92"/>
      <c r="D29" s="23" t="s">
        <v>32</v>
      </c>
      <c r="E29" s="23" t="s">
        <v>25</v>
      </c>
      <c r="F29" s="23" t="s">
        <v>25</v>
      </c>
      <c r="G29" s="24" t="s">
        <v>79</v>
      </c>
      <c r="H29" s="24" t="s">
        <v>72</v>
      </c>
      <c r="I29" s="24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1.5239449365137054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118.96887378877022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224.53232118611984</v>
      </c>
      <c r="AB29" s="13">
        <f ca="1">('TUSD BE'!$AE$29+'TUSD BF'!$AE$29+'TUSD CVA'!$AE$29)*1</f>
        <v>0</v>
      </c>
      <c r="AC29" s="13">
        <f ca="1">('TUSD BE'!$AF$29+'TUSD BF'!$AF$29+'TUSD CVA'!$AF$29)*1</f>
        <v>0</v>
      </c>
      <c r="AD29" s="13">
        <f>('TUSD BE'!$AH$29+'TUSD BF'!$AH$29+'TUSD CVA'!$AH$29)*1</f>
        <v>1.8249227805523367</v>
      </c>
      <c r="AE29" s="13">
        <f>('TUSD BE'!$AI$29+'TUSD BF'!$AI$29+'TUSD CVA'!$AI$29)*1</f>
        <v>7.3749269207253165E-2</v>
      </c>
      <c r="AF29" s="13">
        <f ca="1">('TUSD BE'!$AJ$29+'TUSD BF'!$AJ$29+'TUSD CVA'!$AJ$29)*1</f>
        <v>0</v>
      </c>
      <c r="AG29" s="13">
        <f ca="1">('TUSD BE'!$AK$29+'TUSD BF'!$AK$29+'TUSD CVA'!$AK$29)*1</f>
        <v>0</v>
      </c>
      <c r="AI29" s="13">
        <v>0</v>
      </c>
      <c r="AJ29" s="13">
        <v>1.1006393741079299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93.033086622334906</v>
      </c>
      <c r="AV29" s="13">
        <v>0</v>
      </c>
      <c r="AW29" s="13">
        <v>0</v>
      </c>
      <c r="AX29" s="13">
        <v>141.88424922990501</v>
      </c>
      <c r="AY29" s="13">
        <v>0</v>
      </c>
      <c r="AZ29" s="13">
        <v>0</v>
      </c>
      <c r="BA29" s="13">
        <v>2.4294441992795401</v>
      </c>
      <c r="BB29" s="13">
        <v>0</v>
      </c>
      <c r="BC29" s="13">
        <v>0</v>
      </c>
      <c r="BD29" s="13">
        <v>0</v>
      </c>
    </row>
    <row r="30" spans="1:56" ht="11.25" customHeight="1" x14ac:dyDescent="0.3">
      <c r="A30" s="92" t="s">
        <v>42</v>
      </c>
      <c r="B30" s="92" t="s">
        <v>40</v>
      </c>
      <c r="C30" s="92" t="s">
        <v>43</v>
      </c>
      <c r="D30" s="92" t="s">
        <v>25</v>
      </c>
      <c r="E30" s="92" t="s">
        <v>25</v>
      </c>
      <c r="F30" s="92" t="s">
        <v>25</v>
      </c>
      <c r="G30" s="24" t="s">
        <v>73</v>
      </c>
      <c r="H30" s="24" t="s">
        <v>72</v>
      </c>
      <c r="I30" s="24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1.432508240322883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82.141060967342057</v>
      </c>
      <c r="R30" s="13">
        <f>('TUSD BE'!$R$30+'TUSD BF'!$R$30+'TUSD CVA'!$R$30)*(1 - CUSTOS!$M$38)</f>
        <v>12.890889340235701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329.91430970329333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622.6280640349047</v>
      </c>
      <c r="AB30" s="13">
        <f ca="1">('TUSD BE'!$AE$30+'TUSD BF'!$AE$30+'TUSD CVA'!$AE$30)*(1 - CUSTOS!$M$38)</f>
        <v>0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1.7154274137191965</v>
      </c>
      <c r="AE30" s="13">
        <f>('TUSD BE'!$AI$30+'TUSD BF'!$AI$30+'TUSD CVA'!$AI$30)*(1 - CUSTOS!$M$38)</f>
        <v>6.9324313054817968E-2</v>
      </c>
      <c r="AF30" s="13">
        <f ca="1">('TUSD BE'!$AJ$30+'TUSD BF'!$AJ$30+'TUSD CVA'!$AJ$30)*(1 - CUSTOS!$M$38)</f>
        <v>0</v>
      </c>
      <c r="AG30" s="13">
        <f ca="1">('TUSD BE'!$AK$30+'TUSD BF'!$AK$30+'TUSD CVA'!$AK$30)*(1 - CUSTOS!$M$38)</f>
        <v>0</v>
      </c>
      <c r="AI30" s="13">
        <v>0</v>
      </c>
      <c r="AJ30" s="13">
        <v>0.96856264921497903</v>
      </c>
      <c r="AK30" s="13">
        <v>0</v>
      </c>
      <c r="AL30" s="13">
        <v>0</v>
      </c>
      <c r="AM30" s="13">
        <v>0</v>
      </c>
      <c r="AN30" s="13">
        <v>51.570532870757198</v>
      </c>
      <c r="AO30" s="13">
        <v>8.0425963875178592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241.52390784795799</v>
      </c>
      <c r="AV30" s="13">
        <v>0</v>
      </c>
      <c r="AW30" s="13">
        <v>0</v>
      </c>
      <c r="AX30" s="13">
        <v>368.33150691703003</v>
      </c>
      <c r="AY30" s="13">
        <v>0</v>
      </c>
      <c r="AZ30" s="13">
        <v>0</v>
      </c>
      <c r="BA30" s="13">
        <v>2.1379108953660002</v>
      </c>
      <c r="BB30" s="13">
        <v>0</v>
      </c>
      <c r="BC30" s="13">
        <v>0</v>
      </c>
      <c r="BD30" s="13">
        <v>0</v>
      </c>
    </row>
    <row r="31" spans="1:56" ht="11.25" customHeight="1" x14ac:dyDescent="0.3">
      <c r="A31" s="92"/>
      <c r="B31" s="92"/>
      <c r="C31" s="92"/>
      <c r="D31" s="92"/>
      <c r="E31" s="92"/>
      <c r="F31" s="92"/>
      <c r="G31" s="24" t="s">
        <v>85</v>
      </c>
      <c r="H31" s="24" t="s">
        <v>72</v>
      </c>
      <c r="I31" s="24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1.432508240322883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82.141060967342057</v>
      </c>
      <c r="R31" s="13">
        <f>('TUSD BE'!$R$31+'TUSD BF'!$R$31+'TUSD CVA'!$R$31)*(1 - CUSTOS!$M$38)</f>
        <v>12.890889340235701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197.92649903895469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373.57672154109218</v>
      </c>
      <c r="AB31" s="13">
        <f ca="1">('TUSD BE'!$AE$31+'TUSD BF'!$AE$31+'TUSD CVA'!$AE$31)*(1 - CUSTOS!$M$38)</f>
        <v>0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1.7154274137191965</v>
      </c>
      <c r="AE31" s="13">
        <f>('TUSD BE'!$AI$31+'TUSD BF'!$AI$31+'TUSD CVA'!$AI$31)*(1 - CUSTOS!$M$38)</f>
        <v>6.9324313054817968E-2</v>
      </c>
      <c r="AF31" s="13">
        <f ca="1">('TUSD BE'!$AJ$31+'TUSD BF'!$AJ$31+'TUSD CVA'!$AJ$31)*(1 - CUSTOS!$M$38)</f>
        <v>0</v>
      </c>
      <c r="AG31" s="13">
        <f ca="1">('TUSD BE'!$AK$31+'TUSD BF'!$AK$31+'TUSD CVA'!$AK$31)*(1 - CUSTOS!$M$38)</f>
        <v>0</v>
      </c>
      <c r="AI31" s="13">
        <v>0</v>
      </c>
      <c r="AJ31" s="13">
        <v>0.96856264921497903</v>
      </c>
      <c r="AK31" s="13">
        <v>0</v>
      </c>
      <c r="AL31" s="13">
        <v>0</v>
      </c>
      <c r="AM31" s="13">
        <v>0</v>
      </c>
      <c r="AN31" s="13">
        <v>51.570532870757198</v>
      </c>
      <c r="AO31" s="13">
        <v>8.0425963875178592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144.89817451771501</v>
      </c>
      <c r="AV31" s="13">
        <v>0</v>
      </c>
      <c r="AW31" s="13">
        <v>0</v>
      </c>
      <c r="AX31" s="13">
        <v>220.99880613892401</v>
      </c>
      <c r="AY31" s="13">
        <v>0</v>
      </c>
      <c r="AZ31" s="13">
        <v>0</v>
      </c>
      <c r="BA31" s="13">
        <v>2.1379108953660002</v>
      </c>
      <c r="BB31" s="13">
        <v>0</v>
      </c>
      <c r="BC31" s="13">
        <v>0</v>
      </c>
      <c r="BD31" s="13">
        <v>0</v>
      </c>
    </row>
    <row r="32" spans="1:56" ht="11.25" customHeight="1" x14ac:dyDescent="0.3">
      <c r="A32" s="92"/>
      <c r="B32" s="92"/>
      <c r="C32" s="92"/>
      <c r="D32" s="92"/>
      <c r="E32" s="92"/>
      <c r="F32" s="92"/>
      <c r="G32" s="24" t="s">
        <v>74</v>
      </c>
      <c r="H32" s="24" t="s">
        <v>72</v>
      </c>
      <c r="I32" s="24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1.432508240322883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82.141060967342057</v>
      </c>
      <c r="R32" s="13">
        <f>('TUSD BE'!$R$32+'TUSD BF'!$R$32+'TUSD CVA'!$R$32)*(1 - CUSTOS!$M$38)</f>
        <v>12.890889340235701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65.938688374616092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124.52554601849486</v>
      </c>
      <c r="AB32" s="13">
        <f ca="1">('TUSD BE'!$AE$32+'TUSD BF'!$AE$32+'TUSD CVA'!$AE$32)*(1 - CUSTOS!$M$38)</f>
        <v>0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1.7154274137191965</v>
      </c>
      <c r="AE32" s="13">
        <f>('TUSD BE'!$AI$32+'TUSD BF'!$AI$32+'TUSD CVA'!$AI$32)*(1 - CUSTOS!$M$38)</f>
        <v>6.9324313054817968E-2</v>
      </c>
      <c r="AF32" s="13">
        <f ca="1">('TUSD BE'!$AJ$32+'TUSD BF'!$AJ$32+'TUSD CVA'!$AJ$32)*(1 - CUSTOS!$M$38)</f>
        <v>0</v>
      </c>
      <c r="AG32" s="13">
        <f ca="1">('TUSD BE'!$AK$32+'TUSD BF'!$AK$32+'TUSD CVA'!$AK$32)*(1 - CUSTOS!$M$38)</f>
        <v>0</v>
      </c>
      <c r="AI32" s="13">
        <v>0</v>
      </c>
      <c r="AJ32" s="13">
        <v>0.96856264921497903</v>
      </c>
      <c r="AK32" s="13">
        <v>0</v>
      </c>
      <c r="AL32" s="13">
        <v>0</v>
      </c>
      <c r="AM32" s="13">
        <v>0</v>
      </c>
      <c r="AN32" s="13">
        <v>51.570532870757198</v>
      </c>
      <c r="AO32" s="13">
        <v>8.0425963875178592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48.272441187471102</v>
      </c>
      <c r="AV32" s="13">
        <v>0</v>
      </c>
      <c r="AW32" s="13">
        <v>0</v>
      </c>
      <c r="AX32" s="13">
        <v>73.666268712974599</v>
      </c>
      <c r="AY32" s="13">
        <v>0</v>
      </c>
      <c r="AZ32" s="13">
        <v>0</v>
      </c>
      <c r="BA32" s="13">
        <v>2.1379108953660002</v>
      </c>
      <c r="BB32" s="13">
        <v>0</v>
      </c>
      <c r="BC32" s="13">
        <v>0</v>
      </c>
      <c r="BD32" s="13">
        <v>0</v>
      </c>
    </row>
    <row r="33" spans="1:56" ht="11.25" customHeight="1" x14ac:dyDescent="0.3">
      <c r="A33" s="92"/>
      <c r="B33" s="23" t="s">
        <v>23</v>
      </c>
      <c r="C33" s="23" t="s">
        <v>43</v>
      </c>
      <c r="D33" s="23" t="s">
        <v>25</v>
      </c>
      <c r="E33" s="23" t="s">
        <v>25</v>
      </c>
      <c r="F33" s="23" t="s">
        <v>25</v>
      </c>
      <c r="G33" s="24" t="s">
        <v>79</v>
      </c>
      <c r="H33" s="24" t="s">
        <v>72</v>
      </c>
      <c r="I33" s="24">
        <f>'MERCADO TUSD'!$U$30</f>
        <v>5511.7490000000016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1.432508240322883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82.141060967342057</v>
      </c>
      <c r="R33" s="13">
        <f>('TUSD BE'!$R$33+'TUSD BF'!$R$33+'TUSD CVA'!$R$33)*(1 - CUSTOS!$M$38)</f>
        <v>12.890889340235701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111.830741361444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211.06038191495264</v>
      </c>
      <c r="AB33" s="13">
        <f ca="1">('TUSD BE'!$AE$33+'TUSD BF'!$AE$33+'TUSD CVA'!$AE$33)*(1 - CUSTOS!$M$38)</f>
        <v>0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1.7154274137191965</v>
      </c>
      <c r="AE33" s="13">
        <f>('TUSD BE'!$AI$33+'TUSD BF'!$AI$33+'TUSD CVA'!$AI$33)*(1 - CUSTOS!$M$38)</f>
        <v>6.9324313054817968E-2</v>
      </c>
      <c r="AF33" s="13">
        <f ca="1">('TUSD BE'!$AJ$33+'TUSD BF'!$AJ$33+'TUSD CVA'!$AJ$33)*(1 - CUSTOS!$M$38)</f>
        <v>0</v>
      </c>
      <c r="AG33" s="13">
        <f ca="1">('TUSD BE'!$AK$33+'TUSD BF'!$AK$33+'TUSD CVA'!$AK$33)*(1 - CUSTOS!$M$38)</f>
        <v>0</v>
      </c>
      <c r="AI33" s="13">
        <v>0</v>
      </c>
      <c r="AJ33" s="13">
        <v>0.96856264921497903</v>
      </c>
      <c r="AK33" s="13">
        <v>0</v>
      </c>
      <c r="AL33" s="13">
        <v>0</v>
      </c>
      <c r="AM33" s="13">
        <v>0</v>
      </c>
      <c r="AN33" s="13">
        <v>51.570532870757198</v>
      </c>
      <c r="AO33" s="13">
        <v>8.0425963875178592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81.8691162276547</v>
      </c>
      <c r="AV33" s="13">
        <v>0</v>
      </c>
      <c r="AW33" s="13">
        <v>0</v>
      </c>
      <c r="AX33" s="13">
        <v>124.85813932231601</v>
      </c>
      <c r="AY33" s="13">
        <v>0</v>
      </c>
      <c r="AZ33" s="13">
        <v>0</v>
      </c>
      <c r="BA33" s="13">
        <v>2.1379108953660002</v>
      </c>
      <c r="BB33" s="13">
        <v>0</v>
      </c>
      <c r="BC33" s="13">
        <v>0</v>
      </c>
      <c r="BD33" s="13">
        <v>0</v>
      </c>
    </row>
    <row r="34" spans="1:56" ht="11.25" customHeight="1" x14ac:dyDescent="0.3">
      <c r="A34" s="92"/>
      <c r="B34" s="92" t="s">
        <v>40</v>
      </c>
      <c r="C34" s="92" t="s">
        <v>43</v>
      </c>
      <c r="D34" s="92" t="s">
        <v>89</v>
      </c>
      <c r="E34" s="92" t="s">
        <v>25</v>
      </c>
      <c r="F34" s="92" t="s">
        <v>25</v>
      </c>
      <c r="G34" s="24" t="s">
        <v>73</v>
      </c>
      <c r="H34" s="24" t="s">
        <v>72</v>
      </c>
      <c r="I34" s="24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1.432508240322883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82.141060967342057</v>
      </c>
      <c r="R34" s="13">
        <f>('TUSD BE'!$R$34+'TUSD BF'!$R$34+'TUSD CVA'!$R$34)*(1 - CUSTOS!$M$39)</f>
        <v>12.890889340235701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329.91430970329333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622.6280640349047</v>
      </c>
      <c r="AB34" s="13">
        <f ca="1">('TUSD BE'!$AE$34+'TUSD BF'!$AE$34+'TUSD CVA'!$AE$34)*(1 - CUSTOS!$M$39)</f>
        <v>0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1.7154274137191965</v>
      </c>
      <c r="AE34" s="13">
        <f>('TUSD BE'!$AI$34+'TUSD BF'!$AI$34+'TUSD CVA'!$AI$34)*(1 - CUSTOS!$M$39)</f>
        <v>6.9324313054817968E-2</v>
      </c>
      <c r="AF34" s="13">
        <f ca="1">('TUSD BE'!$AJ$34+'TUSD BF'!$AJ$34+'TUSD CVA'!$AJ$34)*(1 - CUSTOS!$M$39)</f>
        <v>0</v>
      </c>
      <c r="AG34" s="13">
        <f ca="1">('TUSD BE'!$AK$34+'TUSD BF'!$AK$34+'TUSD CVA'!$AK$34)*(1 - CUSTOS!$M$39)</f>
        <v>0</v>
      </c>
      <c r="AI34" s="13">
        <v>0</v>
      </c>
      <c r="AJ34" s="13">
        <v>0.96856264921497903</v>
      </c>
      <c r="AK34" s="13">
        <v>0</v>
      </c>
      <c r="AL34" s="13">
        <v>0</v>
      </c>
      <c r="AM34" s="13">
        <v>0</v>
      </c>
      <c r="AN34" s="13">
        <v>51.570532870757198</v>
      </c>
      <c r="AO34" s="13">
        <v>8.0425963875178592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241.52390784795799</v>
      </c>
      <c r="AV34" s="13">
        <v>0</v>
      </c>
      <c r="AW34" s="13">
        <v>0</v>
      </c>
      <c r="AX34" s="13">
        <v>368.33150691703003</v>
      </c>
      <c r="AY34" s="13">
        <v>0</v>
      </c>
      <c r="AZ34" s="13">
        <v>0</v>
      </c>
      <c r="BA34" s="13">
        <v>2.1379108953660002</v>
      </c>
      <c r="BB34" s="13">
        <v>0</v>
      </c>
      <c r="BC34" s="13">
        <v>0</v>
      </c>
      <c r="BD34" s="13">
        <v>0</v>
      </c>
    </row>
    <row r="35" spans="1:56" ht="11.25" customHeight="1" x14ac:dyDescent="0.3">
      <c r="A35" s="92"/>
      <c r="B35" s="92"/>
      <c r="C35" s="92"/>
      <c r="D35" s="92"/>
      <c r="E35" s="92"/>
      <c r="F35" s="92"/>
      <c r="G35" s="24" t="s">
        <v>85</v>
      </c>
      <c r="H35" s="24" t="s">
        <v>72</v>
      </c>
      <c r="I35" s="24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1.432508240322883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82.141060967342057</v>
      </c>
      <c r="R35" s="13">
        <f>('TUSD BE'!$R$35+'TUSD BF'!$R$35+'TUSD CVA'!$R$35)*(1 - CUSTOS!$M$39)</f>
        <v>12.890889340235701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197.92649903895469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373.57672154109218</v>
      </c>
      <c r="AB35" s="13">
        <f ca="1">('TUSD BE'!$AE$35+'TUSD BF'!$AE$35+'TUSD CVA'!$AE$35)*(1 - CUSTOS!$M$39)</f>
        <v>0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1.7154274137191965</v>
      </c>
      <c r="AE35" s="13">
        <f>('TUSD BE'!$AI$35+'TUSD BF'!$AI$35+'TUSD CVA'!$AI$35)*(1 - CUSTOS!$M$39)</f>
        <v>6.9324313054817968E-2</v>
      </c>
      <c r="AF35" s="13">
        <f ca="1">('TUSD BE'!$AJ$35+'TUSD BF'!$AJ$35+'TUSD CVA'!$AJ$35)*(1 - CUSTOS!$M$39)</f>
        <v>0</v>
      </c>
      <c r="AG35" s="13">
        <f ca="1">('TUSD BE'!$AK$35+'TUSD BF'!$AK$35+'TUSD CVA'!$AK$35)*(1 - CUSTOS!$M$39)</f>
        <v>0</v>
      </c>
      <c r="AI35" s="13">
        <v>0</v>
      </c>
      <c r="AJ35" s="13">
        <v>0.96856264921497903</v>
      </c>
      <c r="AK35" s="13">
        <v>0</v>
      </c>
      <c r="AL35" s="13">
        <v>0</v>
      </c>
      <c r="AM35" s="13">
        <v>0</v>
      </c>
      <c r="AN35" s="13">
        <v>51.570532870757198</v>
      </c>
      <c r="AO35" s="13">
        <v>8.0425963875178592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144.89817451771501</v>
      </c>
      <c r="AV35" s="13">
        <v>0</v>
      </c>
      <c r="AW35" s="13">
        <v>0</v>
      </c>
      <c r="AX35" s="13">
        <v>220.99880613892401</v>
      </c>
      <c r="AY35" s="13">
        <v>0</v>
      </c>
      <c r="AZ35" s="13">
        <v>0</v>
      </c>
      <c r="BA35" s="13">
        <v>2.1379108953660002</v>
      </c>
      <c r="BB35" s="13">
        <v>0</v>
      </c>
      <c r="BC35" s="13">
        <v>0</v>
      </c>
      <c r="BD35" s="13">
        <v>0</v>
      </c>
    </row>
    <row r="36" spans="1:56" ht="11.25" customHeight="1" x14ac:dyDescent="0.3">
      <c r="A36" s="92"/>
      <c r="B36" s="92"/>
      <c r="C36" s="92"/>
      <c r="D36" s="92"/>
      <c r="E36" s="92"/>
      <c r="F36" s="92"/>
      <c r="G36" s="24" t="s">
        <v>74</v>
      </c>
      <c r="H36" s="24" t="s">
        <v>72</v>
      </c>
      <c r="I36" s="24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1.432508240322883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82.141060967342057</v>
      </c>
      <c r="R36" s="13">
        <f>('TUSD BE'!$R$36+'TUSD BF'!$R$36+'TUSD CVA'!$R$36)*(1 - CUSTOS!$M$39)</f>
        <v>12.890889340235701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65.938688374616092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124.52554601849486</v>
      </c>
      <c r="AB36" s="13">
        <f ca="1">('TUSD BE'!$AE$36+'TUSD BF'!$AE$36+'TUSD CVA'!$AE$36)*(1 - CUSTOS!$M$39)</f>
        <v>0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1.7154274137191965</v>
      </c>
      <c r="AE36" s="13">
        <f>('TUSD BE'!$AI$36+'TUSD BF'!$AI$36+'TUSD CVA'!$AI$36)*(1 - CUSTOS!$M$39)</f>
        <v>6.9324313054817968E-2</v>
      </c>
      <c r="AF36" s="13">
        <f ca="1">('TUSD BE'!$AJ$36+'TUSD BF'!$AJ$36+'TUSD CVA'!$AJ$36)*(1 - CUSTOS!$M$39)</f>
        <v>0</v>
      </c>
      <c r="AG36" s="13">
        <f ca="1">('TUSD BE'!$AK$36+'TUSD BF'!$AK$36+'TUSD CVA'!$AK$36)*(1 - CUSTOS!$M$39)</f>
        <v>0</v>
      </c>
      <c r="AI36" s="13">
        <v>0</v>
      </c>
      <c r="AJ36" s="13">
        <v>0.96856264921497903</v>
      </c>
      <c r="AK36" s="13">
        <v>0</v>
      </c>
      <c r="AL36" s="13">
        <v>0</v>
      </c>
      <c r="AM36" s="13">
        <v>0</v>
      </c>
      <c r="AN36" s="13">
        <v>51.570532870757198</v>
      </c>
      <c r="AO36" s="13">
        <v>8.0425963875178592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48.272441187471102</v>
      </c>
      <c r="AV36" s="13">
        <v>0</v>
      </c>
      <c r="AW36" s="13">
        <v>0</v>
      </c>
      <c r="AX36" s="13">
        <v>73.666268712974599</v>
      </c>
      <c r="AY36" s="13">
        <v>0</v>
      </c>
      <c r="AZ36" s="13">
        <v>0</v>
      </c>
      <c r="BA36" s="13">
        <v>2.1379108953660002</v>
      </c>
      <c r="BB36" s="13">
        <v>0</v>
      </c>
      <c r="BC36" s="13">
        <v>0</v>
      </c>
      <c r="BD36" s="13">
        <v>0</v>
      </c>
    </row>
    <row r="37" spans="1:56" ht="11.25" customHeight="1" x14ac:dyDescent="0.3">
      <c r="A37" s="92"/>
      <c r="B37" s="23" t="s">
        <v>23</v>
      </c>
      <c r="C37" s="23" t="s">
        <v>43</v>
      </c>
      <c r="D37" s="23" t="s">
        <v>89</v>
      </c>
      <c r="E37" s="23" t="s">
        <v>25</v>
      </c>
      <c r="F37" s="23" t="s">
        <v>25</v>
      </c>
      <c r="G37" s="24" t="s">
        <v>79</v>
      </c>
      <c r="H37" s="24" t="s">
        <v>72</v>
      </c>
      <c r="I37" s="24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1.432508240322883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82.141060967342057</v>
      </c>
      <c r="R37" s="13">
        <f>('TUSD BE'!$R$37+'TUSD BF'!$R$37+'TUSD CVA'!$R$37)*(1 - CUSTOS!$M$39)</f>
        <v>12.890889340235701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111.830741361444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211.06038191495264</v>
      </c>
      <c r="AB37" s="13">
        <f ca="1">('TUSD BE'!$AE$37+'TUSD BF'!$AE$37+'TUSD CVA'!$AE$37)*(1 - CUSTOS!$M$39)</f>
        <v>0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1.7154274137191965</v>
      </c>
      <c r="AE37" s="13">
        <f>('TUSD BE'!$AI$37+'TUSD BF'!$AI$37+'TUSD CVA'!$AI$37)*(1 - CUSTOS!$M$39)</f>
        <v>6.9324313054817968E-2</v>
      </c>
      <c r="AF37" s="13">
        <f ca="1">('TUSD BE'!$AJ$37+'TUSD BF'!$AJ$37+'TUSD CVA'!$AJ$37)*(1 - CUSTOS!$M$39)</f>
        <v>0</v>
      </c>
      <c r="AG37" s="13">
        <f ca="1">('TUSD BE'!$AK$37+'TUSD BF'!$AK$37+'TUSD CVA'!$AK$37)*(1 - CUSTOS!$M$39)</f>
        <v>0</v>
      </c>
      <c r="AI37" s="13">
        <v>0</v>
      </c>
      <c r="AJ37" s="13">
        <v>0.96856264921497903</v>
      </c>
      <c r="AK37" s="13">
        <v>0</v>
      </c>
      <c r="AL37" s="13">
        <v>0</v>
      </c>
      <c r="AM37" s="13">
        <v>0</v>
      </c>
      <c r="AN37" s="13">
        <v>51.570532870757198</v>
      </c>
      <c r="AO37" s="13">
        <v>8.0425963875178592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81.8691162276547</v>
      </c>
      <c r="AV37" s="13">
        <v>0</v>
      </c>
      <c r="AW37" s="13">
        <v>0</v>
      </c>
      <c r="AX37" s="13">
        <v>124.85813932231601</v>
      </c>
      <c r="AY37" s="13">
        <v>0</v>
      </c>
      <c r="AZ37" s="13">
        <v>0</v>
      </c>
      <c r="BA37" s="13">
        <v>2.1379108953660002</v>
      </c>
      <c r="BB37" s="13">
        <v>0</v>
      </c>
      <c r="BC37" s="13">
        <v>0</v>
      </c>
      <c r="BD37" s="13">
        <v>0</v>
      </c>
    </row>
    <row r="38" spans="1:56" ht="11.25" customHeight="1" x14ac:dyDescent="0.3">
      <c r="A38" s="92"/>
      <c r="B38" s="92" t="s">
        <v>40</v>
      </c>
      <c r="C38" s="92" t="s">
        <v>43</v>
      </c>
      <c r="D38" s="92" t="s">
        <v>90</v>
      </c>
      <c r="E38" s="92" t="s">
        <v>25</v>
      </c>
      <c r="F38" s="92" t="s">
        <v>25</v>
      </c>
      <c r="G38" s="24" t="s">
        <v>73</v>
      </c>
      <c r="H38" s="24" t="s">
        <v>72</v>
      </c>
      <c r="I38" s="24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1.4020293415926091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80.393378819100732</v>
      </c>
      <c r="R38" s="13">
        <f>('TUSD BE'!$R$38+'TUSD BF'!$R$38+'TUSD CVA'!$R$38)*(1 - CUSTOS!$M$40)</f>
        <v>12.616615098954092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322.89485630535091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609.38065841714081</v>
      </c>
      <c r="AB38" s="13">
        <f ca="1">('TUSD BE'!$AE$38+'TUSD BF'!$AE$38+'TUSD CVA'!$AE$38)*(1 - CUSTOS!$M$40)</f>
        <v>0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1.6789289581081499</v>
      </c>
      <c r="AE38" s="13">
        <f>('TUSD BE'!$AI$38+'TUSD BF'!$AI$38+'TUSD CVA'!$AI$38)*(1 - CUSTOS!$M$40)</f>
        <v>6.7849327670672921E-2</v>
      </c>
      <c r="AF38" s="13">
        <f ca="1">('TUSD BE'!$AJ$38+'TUSD BF'!$AJ$38+'TUSD CVA'!$AJ$38)*(1 - CUSTOS!$M$40)</f>
        <v>0</v>
      </c>
      <c r="AG38" s="13">
        <f ca="1">('TUSD BE'!$AK$38+'TUSD BF'!$AK$38+'TUSD CVA'!$AK$38)*(1 - CUSTOS!$M$40)</f>
        <v>0</v>
      </c>
      <c r="AI38" s="13">
        <v>0</v>
      </c>
      <c r="AJ38" s="13">
        <v>0.92453707425066201</v>
      </c>
      <c r="AK38" s="13">
        <v>0</v>
      </c>
      <c r="AL38" s="13">
        <v>0</v>
      </c>
      <c r="AM38" s="13">
        <v>0</v>
      </c>
      <c r="AN38" s="13">
        <v>49.226417740268197</v>
      </c>
      <c r="AO38" s="13">
        <v>7.6770238244488702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230.54554840032401</v>
      </c>
      <c r="AV38" s="13">
        <v>0</v>
      </c>
      <c r="AW38" s="13">
        <v>0</v>
      </c>
      <c r="AX38" s="13">
        <v>351.589165693528</v>
      </c>
      <c r="AY38" s="13">
        <v>0</v>
      </c>
      <c r="AZ38" s="13">
        <v>0</v>
      </c>
      <c r="BA38" s="13">
        <v>2.0407331273948102</v>
      </c>
      <c r="BB38" s="13">
        <v>0</v>
      </c>
      <c r="BC38" s="13">
        <v>0</v>
      </c>
      <c r="BD38" s="13">
        <v>0</v>
      </c>
    </row>
    <row r="39" spans="1:56" ht="11.25" customHeight="1" x14ac:dyDescent="0.3">
      <c r="A39" s="92"/>
      <c r="B39" s="92"/>
      <c r="C39" s="92"/>
      <c r="D39" s="92"/>
      <c r="E39" s="92"/>
      <c r="F39" s="92"/>
      <c r="G39" s="24" t="s">
        <v>85</v>
      </c>
      <c r="H39" s="24" t="s">
        <v>72</v>
      </c>
      <c r="I39" s="24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1.4020293415926091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80.393378819100732</v>
      </c>
      <c r="R39" s="13">
        <f>('TUSD BE'!$R$39+'TUSD BF'!$R$39+'TUSD CVA'!$R$39)*(1 - CUSTOS!$M$40)</f>
        <v>12.616615098954092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193.71529693174293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365.6282806572392</v>
      </c>
      <c r="AB39" s="13">
        <f ca="1">('TUSD BE'!$AE$39+'TUSD BF'!$AE$39+'TUSD CVA'!$AE$39)*(1 - CUSTOS!$M$40)</f>
        <v>0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1.6789289581081499</v>
      </c>
      <c r="AE39" s="13">
        <f>('TUSD BE'!$AI$39+'TUSD BF'!$AI$39+'TUSD CVA'!$AI$39)*(1 - CUSTOS!$M$40)</f>
        <v>6.7849327670672921E-2</v>
      </c>
      <c r="AF39" s="13">
        <f ca="1">('TUSD BE'!$AJ$39+'TUSD BF'!$AJ$39+'TUSD CVA'!$AJ$39)*(1 - CUSTOS!$M$40)</f>
        <v>0</v>
      </c>
      <c r="AG39" s="13">
        <f ca="1">('TUSD BE'!$AK$39+'TUSD BF'!$AK$39+'TUSD CVA'!$AK$39)*(1 - CUSTOS!$M$40)</f>
        <v>0</v>
      </c>
      <c r="AI39" s="13">
        <v>0</v>
      </c>
      <c r="AJ39" s="13">
        <v>0.92453707425066201</v>
      </c>
      <c r="AK39" s="13">
        <v>0</v>
      </c>
      <c r="AL39" s="13">
        <v>0</v>
      </c>
      <c r="AM39" s="13">
        <v>0</v>
      </c>
      <c r="AN39" s="13">
        <v>49.226417740268197</v>
      </c>
      <c r="AO39" s="13">
        <v>7.6770238244488702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138.311893857819</v>
      </c>
      <c r="AV39" s="13">
        <v>0</v>
      </c>
      <c r="AW39" s="13">
        <v>0</v>
      </c>
      <c r="AX39" s="13">
        <v>210.953405859882</v>
      </c>
      <c r="AY39" s="13">
        <v>0</v>
      </c>
      <c r="AZ39" s="13">
        <v>0</v>
      </c>
      <c r="BA39" s="13">
        <v>2.0407331273948102</v>
      </c>
      <c r="BB39" s="13">
        <v>0</v>
      </c>
      <c r="BC39" s="13">
        <v>0</v>
      </c>
      <c r="BD39" s="13">
        <v>0</v>
      </c>
    </row>
    <row r="40" spans="1:56" ht="11.25" customHeight="1" x14ac:dyDescent="0.3">
      <c r="A40" s="92"/>
      <c r="B40" s="92"/>
      <c r="C40" s="92"/>
      <c r="D40" s="92"/>
      <c r="E40" s="92"/>
      <c r="F40" s="92"/>
      <c r="G40" s="24" t="s">
        <v>74</v>
      </c>
      <c r="H40" s="24" t="s">
        <v>72</v>
      </c>
      <c r="I40" s="24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1.4020293415926091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80.393378819100732</v>
      </c>
      <c r="R40" s="13">
        <f>('TUSD BE'!$R$40+'TUSD BF'!$R$40+'TUSD CVA'!$R$40)*(1 - CUSTOS!$M$40)</f>
        <v>12.616615098954092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64.535737558134898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121.87606631597372</v>
      </c>
      <c r="AB40" s="13">
        <f ca="1">('TUSD BE'!$AE$40+'TUSD BF'!$AE$40+'TUSD CVA'!$AE$40)*(1 - CUSTOS!$M$40)</f>
        <v>0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1.6789289581081499</v>
      </c>
      <c r="AE40" s="13">
        <f>('TUSD BE'!$AI$40+'TUSD BF'!$AI$40+'TUSD CVA'!$AI$40)*(1 - CUSTOS!$M$40)</f>
        <v>6.7849327670672921E-2</v>
      </c>
      <c r="AF40" s="13">
        <f ca="1">('TUSD BE'!$AJ$40+'TUSD BF'!$AJ$40+'TUSD CVA'!$AJ$40)*(1 - CUSTOS!$M$40)</f>
        <v>0</v>
      </c>
      <c r="AG40" s="13">
        <f ca="1">('TUSD BE'!$AK$40+'TUSD BF'!$AK$40+'TUSD CVA'!$AK$40)*(1 - CUSTOS!$M$40)</f>
        <v>0</v>
      </c>
      <c r="AI40" s="13">
        <v>0</v>
      </c>
      <c r="AJ40" s="13">
        <v>0.92453707425066201</v>
      </c>
      <c r="AK40" s="13">
        <v>0</v>
      </c>
      <c r="AL40" s="13">
        <v>0</v>
      </c>
      <c r="AM40" s="13">
        <v>0</v>
      </c>
      <c r="AN40" s="13">
        <v>49.226417740268197</v>
      </c>
      <c r="AO40" s="13">
        <v>7.6770238244488702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46.078239315313297</v>
      </c>
      <c r="AV40" s="13">
        <v>0</v>
      </c>
      <c r="AW40" s="13">
        <v>0</v>
      </c>
      <c r="AX40" s="13">
        <v>70.317801953293895</v>
      </c>
      <c r="AY40" s="13">
        <v>0</v>
      </c>
      <c r="AZ40" s="13">
        <v>0</v>
      </c>
      <c r="BA40" s="13">
        <v>2.0407331273948102</v>
      </c>
      <c r="BB40" s="13">
        <v>0</v>
      </c>
      <c r="BC40" s="13">
        <v>0</v>
      </c>
      <c r="BD40" s="13">
        <v>0</v>
      </c>
    </row>
    <row r="41" spans="1:56" ht="11.25" customHeight="1" x14ac:dyDescent="0.3">
      <c r="A41" s="92"/>
      <c r="B41" s="23" t="s">
        <v>23</v>
      </c>
      <c r="C41" s="23" t="s">
        <v>43</v>
      </c>
      <c r="D41" s="23" t="s">
        <v>90</v>
      </c>
      <c r="E41" s="23" t="s">
        <v>25</v>
      </c>
      <c r="F41" s="23" t="s">
        <v>25</v>
      </c>
      <c r="G41" s="24" t="s">
        <v>79</v>
      </c>
      <c r="H41" s="24" t="s">
        <v>72</v>
      </c>
      <c r="I41" s="24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1.4020293415926091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80.393378819100732</v>
      </c>
      <c r="R41" s="13">
        <f>('TUSD BE'!$R$41+'TUSD BF'!$R$41+'TUSD CVA'!$R$41)*(1 - CUSTOS!$M$40)</f>
        <v>12.616615098954092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109.45136388566861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206.56973549123026</v>
      </c>
      <c r="AB41" s="13">
        <f ca="1">('TUSD BE'!$AE$41+'TUSD BF'!$AE$41+'TUSD CVA'!$AE$41)*(1 - CUSTOS!$M$40)</f>
        <v>0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1.6789289581081499</v>
      </c>
      <c r="AE41" s="13">
        <f>('TUSD BE'!$AI$41+'TUSD BF'!$AI$41+'TUSD CVA'!$AI$41)*(1 - CUSTOS!$M$40)</f>
        <v>6.7849327670672921E-2</v>
      </c>
      <c r="AF41" s="13">
        <f ca="1">('TUSD BE'!$AJ$41+'TUSD BF'!$AJ$41+'TUSD CVA'!$AJ$41)*(1 - CUSTOS!$M$40)</f>
        <v>0</v>
      </c>
      <c r="AG41" s="13">
        <f ca="1">('TUSD BE'!$AK$41+'TUSD BF'!$AK$41+'TUSD CVA'!$AK$41)*(1 - CUSTOS!$M$40)</f>
        <v>0</v>
      </c>
      <c r="AI41" s="13">
        <v>0</v>
      </c>
      <c r="AJ41" s="13">
        <v>0.92453707425066201</v>
      </c>
      <c r="AK41" s="13">
        <v>0</v>
      </c>
      <c r="AL41" s="13">
        <v>0</v>
      </c>
      <c r="AM41" s="13">
        <v>0</v>
      </c>
      <c r="AN41" s="13">
        <v>49.226417740268197</v>
      </c>
      <c r="AO41" s="13">
        <v>7.6770238244488702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78.147792762761298</v>
      </c>
      <c r="AV41" s="13">
        <v>0</v>
      </c>
      <c r="AW41" s="13">
        <v>0</v>
      </c>
      <c r="AX41" s="13">
        <v>119.18276935311999</v>
      </c>
      <c r="AY41" s="13">
        <v>0</v>
      </c>
      <c r="AZ41" s="13">
        <v>0</v>
      </c>
      <c r="BA41" s="13">
        <v>2.0407331273948102</v>
      </c>
      <c r="BB41" s="13">
        <v>0</v>
      </c>
      <c r="BC41" s="13">
        <v>0</v>
      </c>
      <c r="BD41" s="13">
        <v>0</v>
      </c>
    </row>
    <row r="42" spans="1:56" ht="11.25" customHeight="1" x14ac:dyDescent="0.3">
      <c r="A42" s="92"/>
      <c r="B42" s="92" t="s">
        <v>88</v>
      </c>
      <c r="C42" s="92" t="s">
        <v>43</v>
      </c>
      <c r="D42" s="23" t="s">
        <v>25</v>
      </c>
      <c r="E42" s="23" t="s">
        <v>25</v>
      </c>
      <c r="F42" s="23" t="s">
        <v>25</v>
      </c>
      <c r="G42" s="24" t="s">
        <v>79</v>
      </c>
      <c r="H42" s="24" t="s">
        <v>72</v>
      </c>
      <c r="I42" s="24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1.432508240322883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82.141060967342057</v>
      </c>
      <c r="R42" s="13">
        <f>('TUSD BE'!$R$42+'TUSD BF'!$R$42+'TUSD CVA'!$R$42)*(1 - CUSTOS!$M$38)</f>
        <v>12.890889340235701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111.830741361444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211.06038191495264</v>
      </c>
      <c r="AB42" s="13">
        <f ca="1">('TUSD BE'!$AE$42+'TUSD BF'!$AE$42+'TUSD CVA'!$AE$42)*(1 - CUSTOS!$M$38)</f>
        <v>0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1.7154274137191965</v>
      </c>
      <c r="AE42" s="13">
        <f>('TUSD BE'!$AI$42+'TUSD BF'!$AI$42+'TUSD CVA'!$AI$42)*(1 - CUSTOS!$M$38)</f>
        <v>6.9324313054817968E-2</v>
      </c>
      <c r="AF42" s="13">
        <f ca="1">('TUSD BE'!$AJ$42+'TUSD BF'!$AJ$42+'TUSD CVA'!$AJ$42)*(1 - CUSTOS!$M$38)</f>
        <v>0</v>
      </c>
      <c r="AG42" s="13">
        <f ca="1">('TUSD BE'!$AK$42+'TUSD BF'!$AK$42+'TUSD CVA'!$AK$42)*(1 - CUSTOS!$M$38)</f>
        <v>0</v>
      </c>
      <c r="AI42" s="13">
        <v>0</v>
      </c>
      <c r="AJ42" s="13">
        <v>0.96856264921497903</v>
      </c>
      <c r="AK42" s="13">
        <v>0</v>
      </c>
      <c r="AL42" s="13">
        <v>0</v>
      </c>
      <c r="AM42" s="13">
        <v>0</v>
      </c>
      <c r="AN42" s="13">
        <v>51.570532870757198</v>
      </c>
      <c r="AO42" s="13">
        <v>8.0425963875178592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81.8691162276547</v>
      </c>
      <c r="AV42" s="13">
        <v>0</v>
      </c>
      <c r="AW42" s="13">
        <v>0</v>
      </c>
      <c r="AX42" s="13">
        <v>124.85813932231601</v>
      </c>
      <c r="AY42" s="13">
        <v>0</v>
      </c>
      <c r="AZ42" s="13">
        <v>0</v>
      </c>
      <c r="BA42" s="13">
        <v>2.1379108953660002</v>
      </c>
      <c r="BB42" s="13">
        <v>0</v>
      </c>
      <c r="BC42" s="13">
        <v>0</v>
      </c>
      <c r="BD42" s="13">
        <v>0</v>
      </c>
    </row>
    <row r="43" spans="1:56" ht="11.25" customHeight="1" x14ac:dyDescent="0.3">
      <c r="A43" s="92"/>
      <c r="B43" s="92"/>
      <c r="C43" s="92"/>
      <c r="D43" s="23" t="s">
        <v>89</v>
      </c>
      <c r="E43" s="23" t="s">
        <v>25</v>
      </c>
      <c r="F43" s="23" t="s">
        <v>25</v>
      </c>
      <c r="G43" s="24" t="s">
        <v>79</v>
      </c>
      <c r="H43" s="24" t="s">
        <v>72</v>
      </c>
      <c r="I43" s="24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1.432508240322883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82.141060967342057</v>
      </c>
      <c r="R43" s="13">
        <f>('TUSD BE'!$R$43+'TUSD BF'!$R$43+'TUSD CVA'!$R$43)*(1 - CUSTOS!$M$39)</f>
        <v>12.890889340235701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111.830741361444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211.06038191495264</v>
      </c>
      <c r="AB43" s="13">
        <f ca="1">('TUSD BE'!$AE$43+'TUSD BF'!$AE$43+'TUSD CVA'!$AE$43)*(1 - CUSTOS!$M$39)</f>
        <v>0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1.7154274137191965</v>
      </c>
      <c r="AE43" s="13">
        <f>('TUSD BE'!$AI$43+'TUSD BF'!$AI$43+'TUSD CVA'!$AI$43)*(1 - CUSTOS!$M$39)</f>
        <v>6.9324313054817968E-2</v>
      </c>
      <c r="AF43" s="13">
        <f ca="1">('TUSD BE'!$AJ$43+'TUSD BF'!$AJ$43+'TUSD CVA'!$AJ$43)*(1 - CUSTOS!$M$39)</f>
        <v>0</v>
      </c>
      <c r="AG43" s="13">
        <f ca="1">('TUSD BE'!$AK$43+'TUSD BF'!$AK$43+'TUSD CVA'!$AK$43)*(1 - CUSTOS!$M$39)</f>
        <v>0</v>
      </c>
      <c r="AI43" s="13">
        <v>0</v>
      </c>
      <c r="AJ43" s="13">
        <v>0.96856264921497903</v>
      </c>
      <c r="AK43" s="13">
        <v>0</v>
      </c>
      <c r="AL43" s="13">
        <v>0</v>
      </c>
      <c r="AM43" s="13">
        <v>0</v>
      </c>
      <c r="AN43" s="13">
        <v>51.570532870757198</v>
      </c>
      <c r="AO43" s="13">
        <v>8.0425963875178592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81.8691162276547</v>
      </c>
      <c r="AV43" s="13">
        <v>0</v>
      </c>
      <c r="AW43" s="13">
        <v>0</v>
      </c>
      <c r="AX43" s="13">
        <v>124.85813932231601</v>
      </c>
      <c r="AY43" s="13">
        <v>0</v>
      </c>
      <c r="AZ43" s="13">
        <v>0</v>
      </c>
      <c r="BA43" s="13">
        <v>2.1379108953660002</v>
      </c>
      <c r="BB43" s="13">
        <v>0</v>
      </c>
      <c r="BC43" s="13">
        <v>0</v>
      </c>
      <c r="BD43" s="13">
        <v>0</v>
      </c>
    </row>
    <row r="44" spans="1:56" ht="11.25" customHeight="1" x14ac:dyDescent="0.3">
      <c r="A44" s="92"/>
      <c r="B44" s="92"/>
      <c r="C44" s="92"/>
      <c r="D44" s="23" t="s">
        <v>90</v>
      </c>
      <c r="E44" s="23" t="s">
        <v>25</v>
      </c>
      <c r="F44" s="23" t="s">
        <v>25</v>
      </c>
      <c r="G44" s="24" t="s">
        <v>79</v>
      </c>
      <c r="H44" s="24" t="s">
        <v>72</v>
      </c>
      <c r="I44" s="24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1.4020293415926091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80.393378819100732</v>
      </c>
      <c r="R44" s="13">
        <f>('TUSD BE'!$R$44+'TUSD BF'!$R$44+'TUSD CVA'!$R$44)*(1 - CUSTOS!$M$40)</f>
        <v>12.616615098954092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109.45136388566861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206.56973549123026</v>
      </c>
      <c r="AB44" s="13">
        <f ca="1">('TUSD BE'!$AE$44+'TUSD BF'!$AE$44+'TUSD CVA'!$AE$44)*(1 - CUSTOS!$M$40)</f>
        <v>0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1.6789289581081499</v>
      </c>
      <c r="AE44" s="13">
        <f>('TUSD BE'!$AI$44+'TUSD BF'!$AI$44+'TUSD CVA'!$AI$44)*(1 - CUSTOS!$M$40)</f>
        <v>6.7849327670672921E-2</v>
      </c>
      <c r="AF44" s="13">
        <f ca="1">('TUSD BE'!$AJ$44+'TUSD BF'!$AJ$44+'TUSD CVA'!$AJ$44)*(1 - CUSTOS!$M$40)</f>
        <v>0</v>
      </c>
      <c r="AG44" s="13">
        <f ca="1">('TUSD BE'!$AK$44+'TUSD BF'!$AK$44+'TUSD CVA'!$AK$44)*(1 - CUSTOS!$M$40)</f>
        <v>0</v>
      </c>
      <c r="AI44" s="13">
        <v>0</v>
      </c>
      <c r="AJ44" s="13">
        <v>0.92453707425066201</v>
      </c>
      <c r="AK44" s="13">
        <v>0</v>
      </c>
      <c r="AL44" s="13">
        <v>0</v>
      </c>
      <c r="AM44" s="13">
        <v>0</v>
      </c>
      <c r="AN44" s="13">
        <v>49.226417740268197</v>
      </c>
      <c r="AO44" s="13">
        <v>7.6770238244488702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78.147792762761298</v>
      </c>
      <c r="AV44" s="13">
        <v>0</v>
      </c>
      <c r="AW44" s="13">
        <v>0</v>
      </c>
      <c r="AX44" s="13">
        <v>119.18276935311999</v>
      </c>
      <c r="AY44" s="13">
        <v>0</v>
      </c>
      <c r="AZ44" s="13">
        <v>0</v>
      </c>
      <c r="BA44" s="13">
        <v>2.0407331273948102</v>
      </c>
      <c r="BB44" s="13">
        <v>0</v>
      </c>
      <c r="BC44" s="13">
        <v>0</v>
      </c>
      <c r="BD44" s="13">
        <v>0</v>
      </c>
    </row>
    <row r="45" spans="1:56" ht="11.25" customHeight="1" x14ac:dyDescent="0.3">
      <c r="A45" s="92" t="s">
        <v>33</v>
      </c>
      <c r="B45" s="92" t="s">
        <v>40</v>
      </c>
      <c r="C45" s="92" t="s">
        <v>25</v>
      </c>
      <c r="D45" s="92" t="s">
        <v>25</v>
      </c>
      <c r="E45" s="92" t="s">
        <v>25</v>
      </c>
      <c r="F45" s="92" t="s">
        <v>25</v>
      </c>
      <c r="G45" s="24" t="s">
        <v>73</v>
      </c>
      <c r="H45" s="24" t="s">
        <v>72</v>
      </c>
      <c r="I45" s="24">
        <f>'MERCADO TUSD'!$U$42</f>
        <v>0.86799999999999977</v>
      </c>
      <c r="J45" s="15"/>
      <c r="L45" s="13">
        <f>('TUSD BE'!$L$45+'TUSD BF'!$L$45+'TUSD CVA'!$L$45)*1</f>
        <v>0</v>
      </c>
      <c r="M45" s="13">
        <f>('TUSD BE'!$M$45+'TUSD BF'!$M$45+'TUSD CVA'!$M$45)*1</f>
        <v>1.5239449365137054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87.384107412066015</v>
      </c>
      <c r="R45" s="13">
        <f>('TUSD BE'!$R$45+'TUSD BF'!$R$45+'TUSD CVA'!$R$45)*1</f>
        <v>13.713712064080534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410.54515235753718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774.63621944506599</v>
      </c>
      <c r="AB45" s="13">
        <f ca="1">('TUSD BE'!$AE$45+'TUSD BF'!$AE$45+'TUSD CVA'!$AE$45)*1</f>
        <v>0</v>
      </c>
      <c r="AC45" s="13">
        <f ca="1">('TUSD BE'!$AF$45+'TUSD BF'!$AF$45+'TUSD CVA'!$AF$45)*1</f>
        <v>0</v>
      </c>
      <c r="AD45" s="13">
        <f>('TUSD BE'!$AH$45+'TUSD BF'!$AH$45+'TUSD CVA'!$AH$45)*1</f>
        <v>1.8249227805523367</v>
      </c>
      <c r="AE45" s="13">
        <f>('TUSD BE'!$AI$45+'TUSD BF'!$AI$45+'TUSD CVA'!$AI$45)*1</f>
        <v>7.3749269207253165E-2</v>
      </c>
      <c r="AF45" s="13">
        <f ca="1">('TUSD BE'!$AJ$45+'TUSD BF'!$AJ$45+'TUSD CVA'!$AJ$45)*1</f>
        <v>0</v>
      </c>
      <c r="AG45" s="13">
        <f ca="1">('TUSD BE'!$AK$45+'TUSD BF'!$AK$45+'TUSD CVA'!$AK$45)*1</f>
        <v>0</v>
      </c>
      <c r="AI45" s="13">
        <v>0</v>
      </c>
      <c r="AJ45" s="13">
        <v>1.1006393741079299</v>
      </c>
      <c r="AK45" s="13">
        <v>0</v>
      </c>
      <c r="AL45" s="13">
        <v>0</v>
      </c>
      <c r="AM45" s="13">
        <v>0</v>
      </c>
      <c r="AN45" s="13">
        <v>58.602878262224003</v>
      </c>
      <c r="AO45" s="13">
        <v>9.1393140767248404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321.04441241371302</v>
      </c>
      <c r="AV45" s="13">
        <v>0</v>
      </c>
      <c r="AW45" s="13">
        <v>0</v>
      </c>
      <c r="AX45" s="13">
        <v>489.50051598189799</v>
      </c>
      <c r="AY45" s="13">
        <v>0</v>
      </c>
      <c r="AZ45" s="13">
        <v>0</v>
      </c>
      <c r="BA45" s="13">
        <v>2.4294441992795401</v>
      </c>
      <c r="BB45" s="13">
        <v>0</v>
      </c>
      <c r="BC45" s="13">
        <v>0</v>
      </c>
      <c r="BD45" s="13">
        <v>0</v>
      </c>
    </row>
    <row r="46" spans="1:56" ht="11.25" customHeight="1" x14ac:dyDescent="0.3">
      <c r="A46" s="92"/>
      <c r="B46" s="92"/>
      <c r="C46" s="92"/>
      <c r="D46" s="92"/>
      <c r="E46" s="92"/>
      <c r="F46" s="92"/>
      <c r="G46" s="24" t="s">
        <v>85</v>
      </c>
      <c r="H46" s="24" t="s">
        <v>72</v>
      </c>
      <c r="I46" s="24">
        <f>'MERCADO TUSD'!$U$43</f>
        <v>0.57500000000000007</v>
      </c>
      <c r="J46" s="15"/>
      <c r="L46" s="13">
        <f>('TUSD BE'!$L$46+'TUSD BF'!$L$46+'TUSD CVA'!$L$46)*1</f>
        <v>0</v>
      </c>
      <c r="M46" s="13">
        <f>('TUSD BE'!$M$46+'TUSD BF'!$M$46+'TUSD CVA'!$M$46)*1</f>
        <v>1.5239449365137054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87.384107412066015</v>
      </c>
      <c r="R46" s="13">
        <f>('TUSD BE'!$R$46+'TUSD BF'!$R$46+'TUSD CVA'!$R$46)*1</f>
        <v>13.713712064080534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246.28009825915785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464.7816961412492</v>
      </c>
      <c r="AB46" s="13">
        <f ca="1">('TUSD BE'!$AE$46+'TUSD BF'!$AE$46+'TUSD CVA'!$AE$46)*1</f>
        <v>0</v>
      </c>
      <c r="AC46" s="13">
        <f ca="1">('TUSD BE'!$AF$46+'TUSD BF'!$AF$46+'TUSD CVA'!$AF$46)*1</f>
        <v>0</v>
      </c>
      <c r="AD46" s="13">
        <f>('TUSD BE'!$AH$46+'TUSD BF'!$AH$46+'TUSD CVA'!$AH$46)*1</f>
        <v>1.8249227805523367</v>
      </c>
      <c r="AE46" s="13">
        <f>('TUSD BE'!$AI$46+'TUSD BF'!$AI$46+'TUSD CVA'!$AI$46)*1</f>
        <v>7.3749269207253165E-2</v>
      </c>
      <c r="AF46" s="13">
        <f ca="1">('TUSD BE'!$AJ$46+'TUSD BF'!$AJ$46+'TUSD CVA'!$AJ$46)*1</f>
        <v>0</v>
      </c>
      <c r="AG46" s="13">
        <f ca="1">('TUSD BE'!$AK$46+'TUSD BF'!$AK$46+'TUSD CVA'!$AK$46)*1</f>
        <v>0</v>
      </c>
      <c r="AI46" s="13">
        <v>0</v>
      </c>
      <c r="AJ46" s="13">
        <v>1.1006393741079299</v>
      </c>
      <c r="AK46" s="13">
        <v>0</v>
      </c>
      <c r="AL46" s="13">
        <v>0</v>
      </c>
      <c r="AM46" s="13">
        <v>0</v>
      </c>
      <c r="AN46" s="13">
        <v>58.602878262224003</v>
      </c>
      <c r="AO46" s="13">
        <v>9.1393140767248404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192.58985837001001</v>
      </c>
      <c r="AV46" s="13">
        <v>0</v>
      </c>
      <c r="AW46" s="13">
        <v>0</v>
      </c>
      <c r="AX46" s="13">
        <v>293.70026318227599</v>
      </c>
      <c r="AY46" s="13">
        <v>0</v>
      </c>
      <c r="AZ46" s="13">
        <v>0</v>
      </c>
      <c r="BA46" s="13">
        <v>2.4294441992795401</v>
      </c>
      <c r="BB46" s="13">
        <v>0</v>
      </c>
      <c r="BC46" s="13">
        <v>0</v>
      </c>
      <c r="BD46" s="13">
        <v>0</v>
      </c>
    </row>
    <row r="47" spans="1:56" ht="11.25" customHeight="1" x14ac:dyDescent="0.3">
      <c r="A47" s="92"/>
      <c r="B47" s="92"/>
      <c r="C47" s="92"/>
      <c r="D47" s="92"/>
      <c r="E47" s="92"/>
      <c r="F47" s="92"/>
      <c r="G47" s="24" t="s">
        <v>74</v>
      </c>
      <c r="H47" s="24" t="s">
        <v>72</v>
      </c>
      <c r="I47" s="24">
        <f>'MERCADO TUSD'!$U$44</f>
        <v>9.5989999999999984</v>
      </c>
      <c r="J47" s="15"/>
      <c r="L47" s="13">
        <f>('TUSD BE'!$L$47+'TUSD BF'!$L$47+'TUSD CVA'!$L$47)*1</f>
        <v>0</v>
      </c>
      <c r="M47" s="13">
        <f>('TUSD BE'!$M$47+'TUSD BF'!$M$47+'TUSD CVA'!$M$47)*1</f>
        <v>1.5239449365137054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87.384107412066015</v>
      </c>
      <c r="R47" s="13">
        <f>('TUSD BE'!$R$47+'TUSD BF'!$R$47+'TUSD CVA'!$R$47)*1</f>
        <v>13.713712064080534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82.073785604984096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154.92743928086071</v>
      </c>
      <c r="AB47" s="13">
        <f ca="1">('TUSD BE'!$AE$47+'TUSD BF'!$AE$47+'TUSD CVA'!$AE$47)*1</f>
        <v>0</v>
      </c>
      <c r="AC47" s="13">
        <f ca="1">('TUSD BE'!$AF$47+'TUSD BF'!$AF$47+'TUSD CVA'!$AF$47)*1</f>
        <v>0</v>
      </c>
      <c r="AD47" s="13">
        <f>('TUSD BE'!$AH$47+'TUSD BF'!$AH$47+'TUSD CVA'!$AH$47)*1</f>
        <v>1.8249227805523367</v>
      </c>
      <c r="AE47" s="13">
        <f>('TUSD BE'!$AI$47+'TUSD BF'!$AI$47+'TUSD CVA'!$AI$47)*1</f>
        <v>7.3749269207253165E-2</v>
      </c>
      <c r="AF47" s="13">
        <f ca="1">('TUSD BE'!$AJ$47+'TUSD BF'!$AJ$47+'TUSD CVA'!$AJ$47)*1</f>
        <v>0</v>
      </c>
      <c r="AG47" s="13">
        <f ca="1">('TUSD BE'!$AK$47+'TUSD BF'!$AK$47+'TUSD CVA'!$AK$47)*1</f>
        <v>0</v>
      </c>
      <c r="AI47" s="13">
        <v>0</v>
      </c>
      <c r="AJ47" s="13">
        <v>1.1006393741079299</v>
      </c>
      <c r="AK47" s="13">
        <v>0</v>
      </c>
      <c r="AL47" s="13">
        <v>0</v>
      </c>
      <c r="AM47" s="13">
        <v>0</v>
      </c>
      <c r="AN47" s="13">
        <v>58.602878262224003</v>
      </c>
      <c r="AO47" s="13">
        <v>9.1393140767248404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64.181290674079406</v>
      </c>
      <c r="AV47" s="13">
        <v>0</v>
      </c>
      <c r="AW47" s="13">
        <v>0</v>
      </c>
      <c r="AX47" s="13">
        <v>97.900196010105105</v>
      </c>
      <c r="AY47" s="13">
        <v>0</v>
      </c>
      <c r="AZ47" s="13">
        <v>0</v>
      </c>
      <c r="BA47" s="13">
        <v>2.4294441992795401</v>
      </c>
      <c r="BB47" s="13">
        <v>0</v>
      </c>
      <c r="BC47" s="13">
        <v>0</v>
      </c>
      <c r="BD47" s="13">
        <v>0</v>
      </c>
    </row>
    <row r="48" spans="1:56" ht="11.25" customHeight="1" x14ac:dyDescent="0.3">
      <c r="A48" s="9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79</v>
      </c>
      <c r="H48" s="24" t="s">
        <v>72</v>
      </c>
      <c r="I48" s="24">
        <f>'MERCADO TUSD'!$U$45</f>
        <v>3233.996000000001</v>
      </c>
      <c r="J48" s="15"/>
      <c r="L48" s="13">
        <f>('TUSD BE'!$L$48+'TUSD BF'!$L$48+'TUSD CVA'!$L$48)*1</f>
        <v>0</v>
      </c>
      <c r="M48" s="13">
        <f>('TUSD BE'!$M$48+'TUSD BF'!$M$48+'TUSD CVA'!$M$48)*1</f>
        <v>1.5239449365137054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87.384107412066015</v>
      </c>
      <c r="R48" s="13">
        <f>('TUSD BE'!$R$48+'TUSD BF'!$R$48+'TUSD CVA'!$R$48)*1</f>
        <v>13.713712064080534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118.96887378877022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224.53232118611984</v>
      </c>
      <c r="AB48" s="13">
        <f ca="1">('TUSD BE'!$AE$48+'TUSD BF'!$AE$48+'TUSD CVA'!$AE$48)*1</f>
        <v>0</v>
      </c>
      <c r="AC48" s="13">
        <f ca="1">('TUSD BE'!$AF$48+'TUSD BF'!$AF$48+'TUSD CVA'!$AF$48)*1</f>
        <v>0</v>
      </c>
      <c r="AD48" s="13">
        <f>('TUSD BE'!$AH$48+'TUSD BF'!$AH$48+'TUSD CVA'!$AH$48)*1</f>
        <v>1.8249227805523367</v>
      </c>
      <c r="AE48" s="13">
        <f>('TUSD BE'!$AI$48+'TUSD BF'!$AI$48+'TUSD CVA'!$AI$48)*1</f>
        <v>7.3749269207253165E-2</v>
      </c>
      <c r="AF48" s="13">
        <f ca="1">('TUSD BE'!$AJ$48+'TUSD BF'!$AJ$48+'TUSD CVA'!$AJ$48)*1</f>
        <v>0</v>
      </c>
      <c r="AG48" s="13">
        <f ca="1">('TUSD BE'!$AK$48+'TUSD BF'!$AK$48+'TUSD CVA'!$AK$48)*1</f>
        <v>0</v>
      </c>
      <c r="AI48" s="13">
        <v>0</v>
      </c>
      <c r="AJ48" s="13">
        <v>1.1006393741079299</v>
      </c>
      <c r="AK48" s="13">
        <v>0</v>
      </c>
      <c r="AL48" s="13">
        <v>0</v>
      </c>
      <c r="AM48" s="13">
        <v>0</v>
      </c>
      <c r="AN48" s="13">
        <v>58.602878262224003</v>
      </c>
      <c r="AO48" s="13">
        <v>9.1393140767248404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93.033086622334906</v>
      </c>
      <c r="AV48" s="13">
        <v>0</v>
      </c>
      <c r="AW48" s="13">
        <v>0</v>
      </c>
      <c r="AX48" s="13">
        <v>141.88424922990501</v>
      </c>
      <c r="AY48" s="13">
        <v>0</v>
      </c>
      <c r="AZ48" s="13">
        <v>0</v>
      </c>
      <c r="BA48" s="13">
        <v>2.4294441992795401</v>
      </c>
      <c r="BB48" s="13">
        <v>0</v>
      </c>
      <c r="BC48" s="13">
        <v>0</v>
      </c>
      <c r="BD48" s="13">
        <v>0</v>
      </c>
    </row>
    <row r="49" spans="1:56" ht="11.25" customHeight="1" x14ac:dyDescent="0.3">
      <c r="A49" s="92"/>
      <c r="B49" s="23" t="s">
        <v>88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79</v>
      </c>
      <c r="H49" s="24" t="s">
        <v>72</v>
      </c>
      <c r="I49" s="24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1.5239449365137054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87.384107412066015</v>
      </c>
      <c r="R49" s="13">
        <f>('TUSD BE'!$R$49+'TUSD BF'!$R$49+'TUSD CVA'!$R$49)*1</f>
        <v>13.713712064080534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118.96887378877022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224.53232118611984</v>
      </c>
      <c r="AB49" s="13">
        <f ca="1">('TUSD BE'!$AE$49+'TUSD BF'!$AE$49+'TUSD CVA'!$AE$49)*1</f>
        <v>0</v>
      </c>
      <c r="AC49" s="13">
        <f ca="1">('TUSD BE'!$AF$49+'TUSD BF'!$AF$49+'TUSD CVA'!$AF$49)*1</f>
        <v>0</v>
      </c>
      <c r="AD49" s="13">
        <f>('TUSD BE'!$AH$49+'TUSD BF'!$AH$49+'TUSD CVA'!$AH$49)*1</f>
        <v>1.8249227805523367</v>
      </c>
      <c r="AE49" s="13">
        <f>('TUSD BE'!$AI$49+'TUSD BF'!$AI$49+'TUSD CVA'!$AI$49)*1</f>
        <v>7.3749269207253165E-2</v>
      </c>
      <c r="AF49" s="13">
        <f ca="1">('TUSD BE'!$AJ$49+'TUSD BF'!$AJ$49+'TUSD CVA'!$AJ$49)*1</f>
        <v>0</v>
      </c>
      <c r="AG49" s="13">
        <f ca="1">('TUSD BE'!$AK$49+'TUSD BF'!$AK$49+'TUSD CVA'!$AK$49)*1</f>
        <v>0</v>
      </c>
      <c r="AI49" s="13">
        <v>0</v>
      </c>
      <c r="AJ49" s="13">
        <v>1.1006393741079299</v>
      </c>
      <c r="AK49" s="13">
        <v>0</v>
      </c>
      <c r="AL49" s="13">
        <v>0</v>
      </c>
      <c r="AM49" s="13">
        <v>0</v>
      </c>
      <c r="AN49" s="13">
        <v>58.602878262224003</v>
      </c>
      <c r="AO49" s="13">
        <v>9.1393140767248404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93.033086622334906</v>
      </c>
      <c r="AV49" s="13">
        <v>0</v>
      </c>
      <c r="AW49" s="13">
        <v>0</v>
      </c>
      <c r="AX49" s="13">
        <v>141.88424922990501</v>
      </c>
      <c r="AY49" s="13">
        <v>0</v>
      </c>
      <c r="AZ49" s="13">
        <v>0</v>
      </c>
      <c r="BA49" s="13">
        <v>2.4294441992795401</v>
      </c>
      <c r="BB49" s="13">
        <v>0</v>
      </c>
      <c r="BC49" s="13">
        <v>0</v>
      </c>
      <c r="BD49" s="13">
        <v>0</v>
      </c>
    </row>
    <row r="50" spans="1:56" ht="11.25" customHeight="1" x14ac:dyDescent="0.3">
      <c r="A50" s="92" t="s">
        <v>45</v>
      </c>
      <c r="B50" s="92" t="s">
        <v>23</v>
      </c>
      <c r="C50" s="92" t="s">
        <v>46</v>
      </c>
      <c r="D50" s="23" t="s">
        <v>47</v>
      </c>
      <c r="E50" s="23" t="s">
        <v>25</v>
      </c>
      <c r="F50" s="23" t="s">
        <v>25</v>
      </c>
      <c r="G50" s="24" t="s">
        <v>79</v>
      </c>
      <c r="H50" s="24" t="s">
        <v>72</v>
      </c>
      <c r="I50" s="24">
        <f>'MERCADO TUSD'!$U$47</f>
        <v>1210.0279999999998</v>
      </c>
      <c r="J50" s="15"/>
      <c r="L50" s="13">
        <f>('TUSD BE'!$L$50+'TUSD BF'!$L$50+'TUSD CVA'!$L$50)*1</f>
        <v>0</v>
      </c>
      <c r="M50" s="13">
        <f>('TUSD BE'!$M$50+'TUSD BF'!$M$50+'TUSD CVA'!$M$50)*1</f>
        <v>0.83816971508253812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48.061259076636318</v>
      </c>
      <c r="R50" s="13">
        <f>('TUSD BE'!$R$50+'TUSD BF'!$R$50+'TUSD CVA'!$R$50)*1</f>
        <v>7.5425416352442944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65.432880583823618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123.4927766523659</v>
      </c>
      <c r="AB50" s="13">
        <f ca="1">('TUSD BE'!$AE$50+'TUSD BF'!$AE$50+'TUSD CVA'!$AE$50)*1</f>
        <v>0</v>
      </c>
      <c r="AC50" s="13">
        <f ca="1">('TUSD BE'!$AF$50+'TUSD BF'!$AF$50+'TUSD CVA'!$AF$50)*1</f>
        <v>0</v>
      </c>
      <c r="AD50" s="13">
        <f>('TUSD BE'!$AH$50+'TUSD BF'!$AH$50+'TUSD CVA'!$AH$50)*1</f>
        <v>1.0037075293037854</v>
      </c>
      <c r="AE50" s="13">
        <f>('TUSD BE'!$AI$50+'TUSD BF'!$AI$50+'TUSD CVA'!$AI$50)*1</f>
        <v>4.0562098063989242E-2</v>
      </c>
      <c r="AF50" s="13">
        <f ca="1">('TUSD BE'!$AJ$50+'TUSD BF'!$AJ$50+'TUSD CVA'!$AJ$50)*1</f>
        <v>0</v>
      </c>
      <c r="AG50" s="13">
        <f ca="1">('TUSD BE'!$AK$50+'TUSD BF'!$AK$50+'TUSD CVA'!$AK$50)*1</f>
        <v>0</v>
      </c>
      <c r="AI50" s="13">
        <v>0</v>
      </c>
      <c r="AJ50" s="13">
        <v>0.60535165575936201</v>
      </c>
      <c r="AK50" s="13">
        <v>0</v>
      </c>
      <c r="AL50" s="13">
        <v>0</v>
      </c>
      <c r="AM50" s="13">
        <v>0</v>
      </c>
      <c r="AN50" s="13">
        <v>32.2315830442232</v>
      </c>
      <c r="AO50" s="13">
        <v>5.0266227421986596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51.168197642284198</v>
      </c>
      <c r="AV50" s="13">
        <v>0</v>
      </c>
      <c r="AW50" s="13">
        <v>0</v>
      </c>
      <c r="AX50" s="13">
        <v>78.036337076447793</v>
      </c>
      <c r="AY50" s="13">
        <v>0</v>
      </c>
      <c r="AZ50" s="13">
        <v>0</v>
      </c>
      <c r="BA50" s="13">
        <v>1.3361943096037501</v>
      </c>
      <c r="BB50" s="13">
        <v>0</v>
      </c>
      <c r="BC50" s="13">
        <v>0</v>
      </c>
      <c r="BD50" s="13">
        <v>0</v>
      </c>
    </row>
    <row r="51" spans="1:56" ht="11.25" customHeight="1" x14ac:dyDescent="0.3">
      <c r="A51" s="92"/>
      <c r="B51" s="92"/>
      <c r="C51" s="92"/>
      <c r="D51" s="24" t="s">
        <v>91</v>
      </c>
      <c r="E51" s="24" t="s">
        <v>25</v>
      </c>
      <c r="F51" s="24" t="s">
        <v>25</v>
      </c>
      <c r="G51" s="24" t="s">
        <v>79</v>
      </c>
      <c r="H51" s="24" t="s">
        <v>72</v>
      </c>
      <c r="I51" s="24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0.91436696190822331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52.430464447239608</v>
      </c>
      <c r="R51" s="13">
        <f>('TUSD BE'!$R$51+'TUSD BF'!$R$51+'TUSD CVA'!$R$51)*1</f>
        <v>8.2282272384483193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71.381324273262138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134.7193927116719</v>
      </c>
      <c r="AB51" s="13">
        <f ca="1">('TUSD BE'!$AE$51+'TUSD BF'!$AE$51+'TUSD CVA'!$AE$51)*1</f>
        <v>0</v>
      </c>
      <c r="AC51" s="13">
        <f ca="1">('TUSD BE'!$AF$51+'TUSD BF'!$AF$51+'TUSD CVA'!$AF$51)*1</f>
        <v>0</v>
      </c>
      <c r="AD51" s="13">
        <f>('TUSD BE'!$AH$51+'TUSD BF'!$AH$51+'TUSD CVA'!$AH$51)*1</f>
        <v>1.0949536683314021</v>
      </c>
      <c r="AE51" s="13">
        <f>('TUSD BE'!$AI$51+'TUSD BF'!$AI$51+'TUSD CVA'!$AI$51)*1</f>
        <v>4.4249561524351895E-2</v>
      </c>
      <c r="AF51" s="13">
        <f ca="1">('TUSD BE'!$AJ$51+'TUSD BF'!$AJ$51+'TUSD CVA'!$AJ$51)*1</f>
        <v>0</v>
      </c>
      <c r="AG51" s="13">
        <f ca="1">('TUSD BE'!$AK$51+'TUSD BF'!$AK$51+'TUSD CVA'!$AK$51)*1</f>
        <v>0</v>
      </c>
      <c r="AI51" s="13">
        <v>0</v>
      </c>
      <c r="AJ51" s="13">
        <v>0.66038362446475796</v>
      </c>
      <c r="AK51" s="13">
        <v>0</v>
      </c>
      <c r="AL51" s="13">
        <v>0</v>
      </c>
      <c r="AM51" s="13">
        <v>0</v>
      </c>
      <c r="AN51" s="13">
        <v>35.161726957334402</v>
      </c>
      <c r="AO51" s="13">
        <v>5.4835884460349096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55.819851973401001</v>
      </c>
      <c r="AV51" s="13">
        <v>0</v>
      </c>
      <c r="AW51" s="13">
        <v>0</v>
      </c>
      <c r="AX51" s="13">
        <v>85.130549537943097</v>
      </c>
      <c r="AY51" s="13">
        <v>0</v>
      </c>
      <c r="AZ51" s="13">
        <v>0</v>
      </c>
      <c r="BA51" s="13">
        <v>1.4576665195677201</v>
      </c>
      <c r="BB51" s="13">
        <v>0</v>
      </c>
      <c r="BC51" s="13">
        <v>0</v>
      </c>
      <c r="BD51" s="13">
        <v>0</v>
      </c>
    </row>
    <row r="53" spans="1:56" ht="11.25" customHeight="1" x14ac:dyDescent="0.3">
      <c r="L53" s="94" t="s">
        <v>725</v>
      </c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I53" s="94" t="s">
        <v>726</v>
      </c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  <c r="BC53" s="94"/>
      <c r="BD53" s="94"/>
    </row>
    <row r="54" spans="1:56" ht="11.25" customHeight="1" x14ac:dyDescent="0.3">
      <c r="L54" s="94" t="s">
        <v>423</v>
      </c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I54" s="94" t="s">
        <v>423</v>
      </c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  <c r="BC54" s="94"/>
      <c r="BD54" s="94"/>
    </row>
    <row r="55" spans="1:56" ht="11.25" customHeight="1" x14ac:dyDescent="0.3">
      <c r="L55" s="94" t="s">
        <v>424</v>
      </c>
      <c r="M55" s="94"/>
      <c r="N55" s="94"/>
      <c r="O55" s="94"/>
      <c r="P55" s="94"/>
      <c r="Q55" s="94"/>
      <c r="R55" s="94"/>
      <c r="S55" s="94"/>
      <c r="T55" s="94" t="s">
        <v>433</v>
      </c>
      <c r="U55" s="94"/>
      <c r="V55" s="94"/>
      <c r="W55" s="94"/>
      <c r="X55" s="94"/>
      <c r="Y55" s="94"/>
      <c r="Z55" s="94"/>
      <c r="AA55" s="10" t="s">
        <v>441</v>
      </c>
      <c r="AB55" s="94" t="s">
        <v>443</v>
      </c>
      <c r="AC55" s="94"/>
      <c r="AD55" s="94" t="s">
        <v>446</v>
      </c>
      <c r="AE55" s="94"/>
      <c r="AF55" s="94"/>
      <c r="AG55" s="94"/>
      <c r="AI55" s="94" t="s">
        <v>424</v>
      </c>
      <c r="AJ55" s="94"/>
      <c r="AK55" s="94"/>
      <c r="AL55" s="94"/>
      <c r="AM55" s="94"/>
      <c r="AN55" s="94"/>
      <c r="AO55" s="94"/>
      <c r="AP55" s="94"/>
      <c r="AQ55" s="94" t="s">
        <v>433</v>
      </c>
      <c r="AR55" s="94"/>
      <c r="AS55" s="94"/>
      <c r="AT55" s="94"/>
      <c r="AU55" s="94"/>
      <c r="AV55" s="94"/>
      <c r="AW55" s="94"/>
      <c r="AX55" s="10" t="s">
        <v>441</v>
      </c>
      <c r="AY55" s="94" t="s">
        <v>443</v>
      </c>
      <c r="AZ55" s="94"/>
      <c r="BA55" s="94" t="s">
        <v>446</v>
      </c>
      <c r="BB55" s="94"/>
      <c r="BC55" s="94"/>
      <c r="BD55" s="94"/>
    </row>
    <row r="56" spans="1:56" ht="11.25" customHeight="1" x14ac:dyDescent="0.3">
      <c r="L56" s="10" t="s">
        <v>509</v>
      </c>
      <c r="M56" s="10" t="s">
        <v>425</v>
      </c>
      <c r="N56" s="10" t="s">
        <v>426</v>
      </c>
      <c r="O56" s="10" t="s">
        <v>427</v>
      </c>
      <c r="P56" s="10" t="s">
        <v>428</v>
      </c>
      <c r="Q56" s="10" t="s">
        <v>429</v>
      </c>
      <c r="R56" s="10" t="s">
        <v>430</v>
      </c>
      <c r="S56" s="10" t="s">
        <v>431</v>
      </c>
      <c r="T56" s="10" t="s">
        <v>434</v>
      </c>
      <c r="U56" s="10" t="s">
        <v>435</v>
      </c>
      <c r="V56" s="10" t="s">
        <v>436</v>
      </c>
      <c r="W56" s="10" t="s">
        <v>437</v>
      </c>
      <c r="X56" s="10" t="s">
        <v>438</v>
      </c>
      <c r="Y56" s="10" t="s">
        <v>439</v>
      </c>
      <c r="Z56" s="10" t="s">
        <v>440</v>
      </c>
      <c r="AA56" s="10" t="s">
        <v>442</v>
      </c>
      <c r="AB56" s="10" t="s">
        <v>444</v>
      </c>
      <c r="AC56" s="10" t="s">
        <v>445</v>
      </c>
      <c r="AD56" s="10" t="s">
        <v>447</v>
      </c>
      <c r="AE56" s="10" t="s">
        <v>448</v>
      </c>
      <c r="AF56" s="10" t="s">
        <v>449</v>
      </c>
      <c r="AG56" s="10" t="s">
        <v>450</v>
      </c>
      <c r="AI56" s="10" t="s">
        <v>509</v>
      </c>
      <c r="AJ56" s="10" t="s">
        <v>425</v>
      </c>
      <c r="AK56" s="10" t="s">
        <v>426</v>
      </c>
      <c r="AL56" s="10" t="s">
        <v>427</v>
      </c>
      <c r="AM56" s="10" t="s">
        <v>428</v>
      </c>
      <c r="AN56" s="10" t="s">
        <v>429</v>
      </c>
      <c r="AO56" s="10" t="s">
        <v>430</v>
      </c>
      <c r="AP56" s="10" t="s">
        <v>431</v>
      </c>
      <c r="AQ56" s="10" t="s">
        <v>434</v>
      </c>
      <c r="AR56" s="10" t="s">
        <v>435</v>
      </c>
      <c r="AS56" s="10" t="s">
        <v>436</v>
      </c>
      <c r="AT56" s="10" t="s">
        <v>437</v>
      </c>
      <c r="AU56" s="10" t="s">
        <v>438</v>
      </c>
      <c r="AV56" s="10" t="s">
        <v>439</v>
      </c>
      <c r="AW56" s="10" t="s">
        <v>440</v>
      </c>
      <c r="AX56" s="10" t="s">
        <v>442</v>
      </c>
      <c r="AY56" s="10" t="s">
        <v>444</v>
      </c>
      <c r="AZ56" s="10" t="s">
        <v>445</v>
      </c>
      <c r="BA56" s="10" t="s">
        <v>447</v>
      </c>
      <c r="BB56" s="10" t="s">
        <v>448</v>
      </c>
      <c r="BC56" s="10" t="s">
        <v>449</v>
      </c>
      <c r="BD56" s="10" t="s">
        <v>450</v>
      </c>
    </row>
    <row r="57" spans="1:56" ht="11.25" customHeight="1" x14ac:dyDescent="0.3">
      <c r="A57" s="9" t="s">
        <v>35</v>
      </c>
      <c r="B57" s="9" t="s">
        <v>727</v>
      </c>
      <c r="C57" s="9" t="s">
        <v>728</v>
      </c>
      <c r="D57" s="9" t="s">
        <v>729</v>
      </c>
      <c r="E57" s="9" t="s">
        <v>730</v>
      </c>
      <c r="F57" s="9" t="s">
        <v>731</v>
      </c>
      <c r="G57" s="9" t="s">
        <v>732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0</v>
      </c>
      <c r="Y57" s="13">
        <f>$I$5*$Y$5</f>
        <v>0</v>
      </c>
      <c r="Z57" s="13">
        <f>$I$5*$Z$5</f>
        <v>0</v>
      </c>
      <c r="AA57" s="13">
        <f>$I$5*$AA$5</f>
        <v>0</v>
      </c>
      <c r="AB57" s="13">
        <f ca="1">$I$5*$AB$5</f>
        <v>0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0</v>
      </c>
      <c r="AV57" s="13">
        <f>$I$5*$AV$5</f>
        <v>0</v>
      </c>
      <c r="AW57" s="13">
        <f>$I$5*$AW$5</f>
        <v>0</v>
      </c>
      <c r="AX57" s="13">
        <f>$I$5*$AX$5</f>
        <v>0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3">
      <c r="A58" s="9" t="s">
        <v>35</v>
      </c>
      <c r="B58" s="9" t="s">
        <v>727</v>
      </c>
      <c r="C58" s="9" t="s">
        <v>728</v>
      </c>
      <c r="D58" s="9" t="s">
        <v>729</v>
      </c>
      <c r="E58" s="9" t="s">
        <v>730</v>
      </c>
      <c r="F58" s="9" t="s">
        <v>731</v>
      </c>
      <c r="G58" s="9" t="s">
        <v>733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0</v>
      </c>
      <c r="Y58" s="13">
        <f>$I$6*$Y$6</f>
        <v>0</v>
      </c>
      <c r="Z58" s="13">
        <f>$I$6*$Z$6</f>
        <v>0</v>
      </c>
      <c r="AA58" s="13">
        <f>$I$6*$AA$6</f>
        <v>0</v>
      </c>
      <c r="AB58" s="13">
        <f ca="1">$I$6*$AB$6</f>
        <v>0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0</v>
      </c>
      <c r="AV58" s="13">
        <f>$I$6*$AV$6</f>
        <v>0</v>
      </c>
      <c r="AW58" s="13">
        <f>$I$6*$AW$6</f>
        <v>0</v>
      </c>
      <c r="AX58" s="13">
        <f>$I$6*$AX$6</f>
        <v>0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3">
      <c r="A59" s="9" t="s">
        <v>35</v>
      </c>
      <c r="B59" s="9" t="s">
        <v>727</v>
      </c>
      <c r="C59" s="9" t="s">
        <v>728</v>
      </c>
      <c r="D59" s="9" t="s">
        <v>729</v>
      </c>
      <c r="E59" s="9" t="s">
        <v>730</v>
      </c>
      <c r="F59" s="9" t="s">
        <v>731</v>
      </c>
      <c r="G59" s="9" t="s">
        <v>734</v>
      </c>
      <c r="L59" s="13">
        <f>$I$7*$L$7</f>
        <v>0</v>
      </c>
      <c r="M59" s="13">
        <f>$I$7*$M$7</f>
        <v>0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0</v>
      </c>
      <c r="R59" s="13">
        <f>$I$7*$R$7</f>
        <v>0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0</v>
      </c>
      <c r="AC59" s="13">
        <f ca="1">$I$7*$AC$7</f>
        <v>0</v>
      </c>
      <c r="AD59" s="13">
        <f>$I$7*$AD$7</f>
        <v>0</v>
      </c>
      <c r="AE59" s="13">
        <f>$I$7*$AE$7</f>
        <v>0</v>
      </c>
      <c r="AF59" s="13">
        <f ca="1">$I$7*$AF$7</f>
        <v>0</v>
      </c>
      <c r="AG59" s="13">
        <f ca="1">$I$7*$AG$7</f>
        <v>0</v>
      </c>
      <c r="AI59" s="13">
        <f>$I$7*$AI$7</f>
        <v>0</v>
      </c>
      <c r="AJ59" s="13">
        <f>$I$7*$AJ$7</f>
        <v>0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0</v>
      </c>
      <c r="AO59" s="13">
        <f>$I$7*$AO$7</f>
        <v>0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0</v>
      </c>
      <c r="BB59" s="13">
        <f>$I$7*$BB$7</f>
        <v>0</v>
      </c>
      <c r="BC59" s="13">
        <f>$I$7*$BC$7</f>
        <v>0</v>
      </c>
      <c r="BD59" s="13">
        <f>$I$7*$BD$7</f>
        <v>0</v>
      </c>
    </row>
    <row r="60" spans="1:56" ht="11.25" customHeight="1" x14ac:dyDescent="0.3">
      <c r="A60" s="9" t="s">
        <v>35</v>
      </c>
      <c r="B60" s="9" t="s">
        <v>727</v>
      </c>
      <c r="C60" s="9" t="s">
        <v>728</v>
      </c>
      <c r="D60" s="9" t="s">
        <v>729</v>
      </c>
      <c r="E60" s="9" t="s">
        <v>735</v>
      </c>
      <c r="F60" s="9" t="s">
        <v>736</v>
      </c>
      <c r="G60" s="9" t="s">
        <v>737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3">
      <c r="A61" s="9" t="s">
        <v>35</v>
      </c>
      <c r="B61" s="9" t="s">
        <v>738</v>
      </c>
      <c r="C61" s="9" t="s">
        <v>739</v>
      </c>
      <c r="D61" s="9" t="s">
        <v>740</v>
      </c>
      <c r="E61" s="9" t="s">
        <v>741</v>
      </c>
      <c r="F61" s="9" t="s">
        <v>742</v>
      </c>
      <c r="G61" s="9" t="s">
        <v>743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3">
      <c r="A62" s="9" t="s">
        <v>35</v>
      </c>
      <c r="B62" s="9" t="s">
        <v>744</v>
      </c>
      <c r="C62" s="9" t="s">
        <v>745</v>
      </c>
      <c r="D62" s="9" t="s">
        <v>746</v>
      </c>
      <c r="E62" s="9" t="s">
        <v>747</v>
      </c>
      <c r="F62" s="9" t="s">
        <v>748</v>
      </c>
      <c r="G62" s="9" t="s">
        <v>749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1068762.7801975559</v>
      </c>
      <c r="Y62" s="13">
        <f>$I$10*$Y$10</f>
        <v>0</v>
      </c>
      <c r="Z62" s="13">
        <f>$I$10*$Z$10</f>
        <v>0</v>
      </c>
      <c r="AA62" s="13">
        <f>$I$10*$AA$10</f>
        <v>1092636.8430026204</v>
      </c>
      <c r="AB62" s="13">
        <f ca="1">$I$10*$AB$10</f>
        <v>0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835765.85427052539</v>
      </c>
      <c r="AV62" s="13">
        <f>$I$10*$AV$10</f>
        <v>0</v>
      </c>
      <c r="AW62" s="13">
        <f>$I$10*$AW$10</f>
        <v>0</v>
      </c>
      <c r="AX62" s="13">
        <f>$I$10*$AX$10</f>
        <v>690448.3125238776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3">
      <c r="A63" s="9" t="s">
        <v>35</v>
      </c>
      <c r="B63" s="9" t="s">
        <v>744</v>
      </c>
      <c r="C63" s="9" t="s">
        <v>745</v>
      </c>
      <c r="D63" s="9" t="s">
        <v>746</v>
      </c>
      <c r="E63" s="9" t="s">
        <v>747</v>
      </c>
      <c r="F63" s="9" t="s">
        <v>748</v>
      </c>
      <c r="G63" s="9" t="s">
        <v>750</v>
      </c>
      <c r="L63" s="13">
        <f>$I$11*$L$11</f>
        <v>0</v>
      </c>
      <c r="M63" s="13">
        <f>$I$11*$M$11</f>
        <v>1316.9376986127113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114302.75373743857</v>
      </c>
      <c r="R63" s="13">
        <f>$I$11*$R$11</f>
        <v>21355.019853610334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1366887.0888291541</v>
      </c>
      <c r="Y63" s="13">
        <f>$I$11*$Y$11</f>
        <v>0</v>
      </c>
      <c r="Z63" s="13">
        <f>$I$11*$Z$11</f>
        <v>0</v>
      </c>
      <c r="AA63" s="13">
        <f>$I$11*$AA$11</f>
        <v>2020493.9476239195</v>
      </c>
      <c r="AB63" s="13">
        <f ca="1">$I$11*$AB$11</f>
        <v>0</v>
      </c>
      <c r="AC63" s="13">
        <f ca="1">$I$11*$AC$11</f>
        <v>0</v>
      </c>
      <c r="AD63" s="13">
        <f>$I$11*$AD$11</f>
        <v>1097.2766026080799</v>
      </c>
      <c r="AE63" s="13">
        <f>$I$11*$AE$11</f>
        <v>44.343436567804211</v>
      </c>
      <c r="AF63" s="13">
        <f ca="1">$I$11*$AF$11</f>
        <v>0</v>
      </c>
      <c r="AG63" s="13">
        <f ca="1">$I$11*$AG$11</f>
        <v>0</v>
      </c>
      <c r="AI63" s="13">
        <f>$I$11*$AI$11</f>
        <v>0</v>
      </c>
      <c r="AJ63" s="13">
        <f>$I$11*$AJ$11</f>
        <v>1004.2360826011686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79393.171735051845</v>
      </c>
      <c r="AO63" s="13">
        <f>$I$11*$AO$11</f>
        <v>14231.758158904075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1068899.339187938</v>
      </c>
      <c r="AV63" s="13">
        <f>$I$11*$AV$11</f>
        <v>0</v>
      </c>
      <c r="AW63" s="13">
        <f>$I$11*$AW$11</f>
        <v>0</v>
      </c>
      <c r="AX63" s="13">
        <f>$I$11*$AX$11</f>
        <v>1276770.6222701836</v>
      </c>
      <c r="AY63" s="13">
        <f>$I$11*$AY$11</f>
        <v>0</v>
      </c>
      <c r="AZ63" s="13">
        <f>$I$11*$AZ$11</f>
        <v>0</v>
      </c>
      <c r="BA63" s="13">
        <f>$I$11*$BA$11</f>
        <v>1460.6494941130443</v>
      </c>
      <c r="BB63" s="13">
        <f>$I$11*$BB$11</f>
        <v>0</v>
      </c>
      <c r="BC63" s="13">
        <f>$I$11*$BC$11</f>
        <v>0</v>
      </c>
      <c r="BD63" s="13">
        <f>$I$11*$BD$11</f>
        <v>0</v>
      </c>
    </row>
    <row r="64" spans="1:56" ht="11.25" customHeight="1" x14ac:dyDescent="0.3">
      <c r="A64" s="9" t="s">
        <v>35</v>
      </c>
      <c r="B64" s="9" t="s">
        <v>744</v>
      </c>
      <c r="C64" s="9" t="s">
        <v>745</v>
      </c>
      <c r="D64" s="9" t="s">
        <v>746</v>
      </c>
      <c r="E64" s="9" t="s">
        <v>747</v>
      </c>
      <c r="F64" s="9" t="s">
        <v>748</v>
      </c>
      <c r="G64" s="9" t="s">
        <v>751</v>
      </c>
      <c r="L64" s="13">
        <f>$I$12*$L$12</f>
        <v>0</v>
      </c>
      <c r="M64" s="13">
        <f>$I$12*$M$12</f>
        <v>19812.794803672954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1719638.6797038824</v>
      </c>
      <c r="R64" s="13">
        <f>$I$12*$R$12</f>
        <v>321277.6328247331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0</v>
      </c>
      <c r="AC64" s="13">
        <f ca="1">$I$12*$AC$12</f>
        <v>0</v>
      </c>
      <c r="AD64" s="13">
        <f>$I$12*$AD$12</f>
        <v>16508.082495661532</v>
      </c>
      <c r="AE64" s="13">
        <f>$I$12*$AE$12</f>
        <v>667.12906049625064</v>
      </c>
      <c r="AF64" s="13">
        <f ca="1">$I$12*$AF$12</f>
        <v>0</v>
      </c>
      <c r="AG64" s="13">
        <f ca="1">$I$12*$AG$12</f>
        <v>0</v>
      </c>
      <c r="AI64" s="13">
        <f>$I$12*$AI$12</f>
        <v>0</v>
      </c>
      <c r="AJ64" s="13">
        <f>$I$12*$AJ$12</f>
        <v>15108.325519104606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1194438.143927674</v>
      </c>
      <c r="AO64" s="13">
        <f>$I$12*$AO$12</f>
        <v>214111.04291030523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21974.880616931201</v>
      </c>
      <c r="BB64" s="13">
        <f>$I$12*$BB$12</f>
        <v>0</v>
      </c>
      <c r="BC64" s="13">
        <f>$I$12*$BC$12</f>
        <v>0</v>
      </c>
      <c r="BD64" s="13">
        <f>$I$12*$BD$12</f>
        <v>0</v>
      </c>
    </row>
    <row r="65" spans="1:56" ht="11.25" customHeight="1" x14ac:dyDescent="0.3">
      <c r="A65" s="9" t="s">
        <v>35</v>
      </c>
      <c r="B65" s="9" t="s">
        <v>744</v>
      </c>
      <c r="C65" s="9" t="s">
        <v>745</v>
      </c>
      <c r="D65" s="9" t="s">
        <v>746</v>
      </c>
      <c r="E65" s="9" t="s">
        <v>752</v>
      </c>
      <c r="F65" s="9" t="s">
        <v>753</v>
      </c>
      <c r="G65" s="9" t="s">
        <v>754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3">
      <c r="A66" s="9" t="s">
        <v>35</v>
      </c>
      <c r="B66" s="9" t="s">
        <v>744</v>
      </c>
      <c r="C66" s="9" t="s">
        <v>745</v>
      </c>
      <c r="D66" s="9" t="s">
        <v>746</v>
      </c>
      <c r="E66" s="9" t="s">
        <v>752</v>
      </c>
      <c r="F66" s="9" t="s">
        <v>753</v>
      </c>
      <c r="G66" s="9" t="s">
        <v>755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3">
      <c r="A67" s="9" t="s">
        <v>82</v>
      </c>
      <c r="B67" s="9" t="s">
        <v>756</v>
      </c>
      <c r="C67" s="9" t="s">
        <v>757</v>
      </c>
      <c r="D67" s="9" t="s">
        <v>758</v>
      </c>
      <c r="E67" s="9" t="s">
        <v>759</v>
      </c>
      <c r="F67" s="9" t="s">
        <v>760</v>
      </c>
      <c r="G67" s="9" t="s">
        <v>761</v>
      </c>
      <c r="L67" s="13">
        <f>$I$15*$L$15</f>
        <v>0</v>
      </c>
      <c r="M67" s="13">
        <f>$I$15*$M$15</f>
        <v>1.0794346283283884E-10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7.0349946545545209E-8</v>
      </c>
      <c r="AB67" s="13">
        <f ca="1">$I$15*$AB$15</f>
        <v>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1.00704532859752E-10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4.4454990062561503E-8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3">
      <c r="A68" s="9" t="s">
        <v>82</v>
      </c>
      <c r="B68" s="9" t="s">
        <v>756</v>
      </c>
      <c r="C68" s="9" t="s">
        <v>757</v>
      </c>
      <c r="D68" s="9" t="s">
        <v>758</v>
      </c>
      <c r="E68" s="9" t="s">
        <v>762</v>
      </c>
      <c r="F68" s="9" t="s">
        <v>763</v>
      </c>
      <c r="G68" s="9" t="s">
        <v>764</v>
      </c>
      <c r="L68" s="13">
        <f>$I$16*$L$16</f>
        <v>0</v>
      </c>
      <c r="M68" s="13">
        <f>$I$16*$M$16</f>
        <v>1.0794346283283884E-10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1.4313074530287118E-7</v>
      </c>
      <c r="AB68" s="13">
        <f ca="1">$I$16*$AB$16</f>
        <v>0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1.00704532859752E-10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9.0445583212132702E-8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3">
      <c r="A69" s="9" t="s">
        <v>22</v>
      </c>
      <c r="B69" s="9" t="s">
        <v>765</v>
      </c>
      <c r="C69" s="9" t="s">
        <v>766</v>
      </c>
      <c r="D69" s="9" t="s">
        <v>767</v>
      </c>
      <c r="E69" s="9" t="s">
        <v>768</v>
      </c>
      <c r="F69" s="9" t="s">
        <v>769</v>
      </c>
      <c r="G69" s="9" t="s">
        <v>770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3">
      <c r="A70" s="9" t="s">
        <v>22</v>
      </c>
      <c r="B70" s="9" t="s">
        <v>765</v>
      </c>
      <c r="C70" s="9" t="s">
        <v>766</v>
      </c>
      <c r="D70" s="9" t="s">
        <v>767</v>
      </c>
      <c r="E70" s="9" t="s">
        <v>768</v>
      </c>
      <c r="F70" s="9" t="s">
        <v>769</v>
      </c>
      <c r="G70" s="9" t="s">
        <v>771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3">
      <c r="A71" s="9" t="s">
        <v>22</v>
      </c>
      <c r="B71" s="9" t="s">
        <v>765</v>
      </c>
      <c r="C71" s="9" t="s">
        <v>766</v>
      </c>
      <c r="D71" s="9" t="s">
        <v>767</v>
      </c>
      <c r="E71" s="9" t="s">
        <v>768</v>
      </c>
      <c r="F71" s="9" t="s">
        <v>769</v>
      </c>
      <c r="G71" s="9" t="s">
        <v>772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3">
      <c r="A72" s="9" t="s">
        <v>22</v>
      </c>
      <c r="B72" s="9" t="s">
        <v>773</v>
      </c>
      <c r="C72" s="9" t="s">
        <v>774</v>
      </c>
      <c r="D72" s="9" t="s">
        <v>775</v>
      </c>
      <c r="E72" s="9" t="s">
        <v>776</v>
      </c>
      <c r="F72" s="9" t="s">
        <v>777</v>
      </c>
      <c r="G72" s="9" t="s">
        <v>778</v>
      </c>
      <c r="L72" s="13">
        <f>$I$20*$L$20</f>
        <v>0</v>
      </c>
      <c r="M72" s="13">
        <f>$I$20*$M$20</f>
        <v>9012.3558557376564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516775.01808902057</v>
      </c>
      <c r="R72" s="13">
        <f>$I$20*$R$20</f>
        <v>81100.602957057577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703562.05178486439</v>
      </c>
      <c r="Y72" s="13">
        <f>$I$20*$Y$20</f>
        <v>0</v>
      </c>
      <c r="Z72" s="13">
        <f>$I$20*$Z$20</f>
        <v>0</v>
      </c>
      <c r="AA72" s="13">
        <f>$I$20*$AA$20</f>
        <v>1327846.6505970745</v>
      </c>
      <c r="AB72" s="13">
        <f ca="1">$I$20*$AB$20</f>
        <v>0</v>
      </c>
      <c r="AC72" s="13">
        <f ca="1">$I$20*$AC$20</f>
        <v>0</v>
      </c>
      <c r="AD72" s="13">
        <f>$I$20*$AD$20</f>
        <v>10792.288562082167</v>
      </c>
      <c r="AE72" s="13">
        <f>$I$20*$AE$20</f>
        <v>436.14086196373756</v>
      </c>
      <c r="AF72" s="13">
        <f ca="1">$I$20*$AF$20</f>
        <v>0</v>
      </c>
      <c r="AG72" s="13">
        <f ca="1">$I$20*$AG$20</f>
        <v>0</v>
      </c>
      <c r="AI72" s="13">
        <f>$I$20*$AI$20</f>
        <v>0</v>
      </c>
      <c r="AJ72" s="13">
        <f>$I$20*$AJ$20</f>
        <v>6508.9974516988214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346567.63536212296</v>
      </c>
      <c r="AO72" s="13">
        <f>$I$20*$AO$20</f>
        <v>54048.37718429989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550182.13775902265</v>
      </c>
      <c r="AV72" s="13">
        <f>$I$20*$AV$20</f>
        <v>0</v>
      </c>
      <c r="AW72" s="13">
        <f>$I$20*$AW$20</f>
        <v>0</v>
      </c>
      <c r="AX72" s="13">
        <f>$I$20*$AX$20</f>
        <v>839079.7552760368</v>
      </c>
      <c r="AY72" s="13">
        <f>$I$20*$AY$20</f>
        <v>0</v>
      </c>
      <c r="AZ72" s="13">
        <f>$I$20*$AZ$20</f>
        <v>0</v>
      </c>
      <c r="BA72" s="13">
        <f>$I$20*$BA$20</f>
        <v>14367.327277357919</v>
      </c>
      <c r="BB72" s="13">
        <f>$I$20*$BB$20</f>
        <v>0</v>
      </c>
      <c r="BC72" s="13">
        <f>$I$20*$BC$20</f>
        <v>0</v>
      </c>
      <c r="BD72" s="13">
        <f>$I$20*$BD$20</f>
        <v>0</v>
      </c>
    </row>
    <row r="73" spans="1:56" ht="11.25" customHeight="1" x14ac:dyDescent="0.3">
      <c r="A73" s="9" t="s">
        <v>22</v>
      </c>
      <c r="B73" s="9" t="s">
        <v>773</v>
      </c>
      <c r="C73" s="9" t="s">
        <v>774</v>
      </c>
      <c r="D73" s="9" t="s">
        <v>779</v>
      </c>
      <c r="E73" s="9" t="s">
        <v>780</v>
      </c>
      <c r="F73" s="9" t="s">
        <v>781</v>
      </c>
      <c r="G73" s="9" t="s">
        <v>782</v>
      </c>
      <c r="L73" s="13">
        <f>$I$21*$L$21</f>
        <v>0</v>
      </c>
      <c r="M73" s="13">
        <f>$I$21*$M$21</f>
        <v>41.939193244597647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3274.0412519980246</v>
      </c>
      <c r="Y73" s="13">
        <f>$I$21*$Y$21</f>
        <v>0</v>
      </c>
      <c r="Z73" s="13">
        <f>$I$21*$Z$21</f>
        <v>0</v>
      </c>
      <c r="AA73" s="13">
        <f>$I$21*$AA$21</f>
        <v>6179.1631588901964</v>
      </c>
      <c r="AB73" s="13">
        <f ca="1">$I$21*$AB$21</f>
        <v>0</v>
      </c>
      <c r="AC73" s="13">
        <f ca="1">$I$21*$AC$21</f>
        <v>0</v>
      </c>
      <c r="AD73" s="13">
        <f>$I$21*$AD$21</f>
        <v>50.222148659217389</v>
      </c>
      <c r="AE73" s="13">
        <f>$I$21*$AE$21</f>
        <v>2.0295909509739882</v>
      </c>
      <c r="AF73" s="13">
        <f ca="1">$I$21*$AF$21</f>
        <v>0</v>
      </c>
      <c r="AG73" s="13">
        <f ca="1">$I$21*$AG$21</f>
        <v>0</v>
      </c>
      <c r="AI73" s="13">
        <f>$I$21*$AI$21</f>
        <v>0</v>
      </c>
      <c r="AJ73" s="13">
        <f>$I$21*$AJ$21</f>
        <v>30.28976067135639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2560.284498809649</v>
      </c>
      <c r="AV73" s="13">
        <f>$I$21*$AV$21</f>
        <v>0</v>
      </c>
      <c r="AW73" s="13">
        <f>$I$21*$AW$21</f>
        <v>0</v>
      </c>
      <c r="AX73" s="13">
        <f>$I$21*$AX$21</f>
        <v>3904.6758214443744</v>
      </c>
      <c r="AY73" s="13">
        <f>$I$21*$AY$21</f>
        <v>0</v>
      </c>
      <c r="AZ73" s="13">
        <f>$I$21*$AZ$21</f>
        <v>0</v>
      </c>
      <c r="BA73" s="13">
        <f>$I$21*$BA$21</f>
        <v>66.858668780802844</v>
      </c>
      <c r="BB73" s="13">
        <f>$I$21*$BB$21</f>
        <v>0</v>
      </c>
      <c r="BC73" s="13">
        <f>$I$21*$BC$21</f>
        <v>0</v>
      </c>
      <c r="BD73" s="13">
        <f>$I$21*$BD$21</f>
        <v>0</v>
      </c>
    </row>
    <row r="74" spans="1:56" ht="11.25" customHeight="1" x14ac:dyDescent="0.3">
      <c r="A74" s="9" t="s">
        <v>22</v>
      </c>
      <c r="B74" s="9" t="s">
        <v>773</v>
      </c>
      <c r="C74" s="9" t="s">
        <v>774</v>
      </c>
      <c r="D74" s="9" t="s">
        <v>783</v>
      </c>
      <c r="E74" s="9" t="s">
        <v>784</v>
      </c>
      <c r="F74" s="9" t="s">
        <v>785</v>
      </c>
      <c r="G74" s="9" t="s">
        <v>786</v>
      </c>
      <c r="L74" s="13">
        <f>$I$22*$L$22</f>
        <v>0</v>
      </c>
      <c r="M74" s="13">
        <f>$I$22*$M$22</f>
        <v>146.17893183330577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11411.660930242148</v>
      </c>
      <c r="Y74" s="13">
        <f>$I$22*$Y$22</f>
        <v>0</v>
      </c>
      <c r="Z74" s="13">
        <f>$I$22*$Z$22</f>
        <v>0</v>
      </c>
      <c r="AA74" s="13">
        <f>$I$22*$AA$22</f>
        <v>21537.454593422281</v>
      </c>
      <c r="AB74" s="13">
        <f ca="1">$I$22*$AB$22</f>
        <v>0</v>
      </c>
      <c r="AC74" s="13">
        <f ca="1">$I$22*$AC$22</f>
        <v>0</v>
      </c>
      <c r="AD74" s="13">
        <f>$I$22*$AD$22</f>
        <v>175.04914800247295</v>
      </c>
      <c r="AE74" s="13">
        <f>$I$22*$AE$22</f>
        <v>7.0741331513366141</v>
      </c>
      <c r="AF74" s="13">
        <f ca="1">$I$22*$AF$22</f>
        <v>0</v>
      </c>
      <c r="AG74" s="13">
        <f ca="1">$I$22*$AG$22</f>
        <v>0</v>
      </c>
      <c r="AI74" s="13">
        <f>$I$22*$AI$22</f>
        <v>0</v>
      </c>
      <c r="AJ74" s="13">
        <f>$I$22*$AJ$22</f>
        <v>105.57486965955641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8923.8639151356456</v>
      </c>
      <c r="AV74" s="13">
        <f>$I$22*$AV$22</f>
        <v>0</v>
      </c>
      <c r="AW74" s="13">
        <f>$I$22*$AW$22</f>
        <v>0</v>
      </c>
      <c r="AX74" s="13">
        <f>$I$22*$AX$22</f>
        <v>13609.735824081426</v>
      </c>
      <c r="AY74" s="13">
        <f>$I$22*$AY$22</f>
        <v>0</v>
      </c>
      <c r="AZ74" s="13">
        <f>$I$22*$AZ$22</f>
        <v>0</v>
      </c>
      <c r="BA74" s="13">
        <f>$I$22*$BA$22</f>
        <v>233.03568881677188</v>
      </c>
      <c r="BB74" s="13">
        <f>$I$22*$BB$22</f>
        <v>0</v>
      </c>
      <c r="BC74" s="13">
        <f>$I$22*$BC$22</f>
        <v>0</v>
      </c>
      <c r="BD74" s="13">
        <f>$I$22*$BD$22</f>
        <v>0</v>
      </c>
    </row>
    <row r="75" spans="1:56" ht="11.25" customHeight="1" x14ac:dyDescent="0.3">
      <c r="A75" s="9" t="s">
        <v>22</v>
      </c>
      <c r="B75" s="9" t="s">
        <v>773</v>
      </c>
      <c r="C75" s="9" t="s">
        <v>774</v>
      </c>
      <c r="D75" s="9" t="s">
        <v>787</v>
      </c>
      <c r="E75" s="9" t="s">
        <v>788</v>
      </c>
      <c r="F75" s="9" t="s">
        <v>789</v>
      </c>
      <c r="G75" s="9" t="s">
        <v>790</v>
      </c>
      <c r="L75" s="13">
        <f>$I$23*$L$23</f>
        <v>0</v>
      </c>
      <c r="M75" s="13">
        <f>$I$23*$M$23</f>
        <v>205.64890185233563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16054.266570312975</v>
      </c>
      <c r="Y75" s="13">
        <f>$I$23*$Y$23</f>
        <v>0</v>
      </c>
      <c r="Z75" s="13">
        <f>$I$23*$Z$23</f>
        <v>0</v>
      </c>
      <c r="AA75" s="13">
        <f>$I$23*$AA$23</f>
        <v>30299.53653569306</v>
      </c>
      <c r="AB75" s="13">
        <f ca="1">$I$23*$AB$23</f>
        <v>0</v>
      </c>
      <c r="AC75" s="13">
        <f ca="1">$I$23*$AC$23</f>
        <v>0</v>
      </c>
      <c r="AD75" s="13">
        <f>$I$23*$AD$23</f>
        <v>246.26438711391313</v>
      </c>
      <c r="AE75" s="13">
        <f>$I$23*$AE$23</f>
        <v>9.9521025080996974</v>
      </c>
      <c r="AF75" s="13">
        <f ca="1">$I$23*$AF$23</f>
        <v>0</v>
      </c>
      <c r="AG75" s="13">
        <f ca="1">$I$23*$AG$23</f>
        <v>0</v>
      </c>
      <c r="AI75" s="13">
        <f>$I$23*$AI$23</f>
        <v>0</v>
      </c>
      <c r="AJ75" s="13">
        <f>$I$23*$AJ$23</f>
        <v>148.52589040293216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12554.359177559643</v>
      </c>
      <c r="AV75" s="13">
        <f>$I$23*$AV$23</f>
        <v>0</v>
      </c>
      <c r="AW75" s="13">
        <f>$I$23*$AW$23</f>
        <v>0</v>
      </c>
      <c r="AX75" s="13">
        <f>$I$23*$AX$23</f>
        <v>19146.584200754529</v>
      </c>
      <c r="AY75" s="13">
        <f>$I$23*$AY$23</f>
        <v>0</v>
      </c>
      <c r="AZ75" s="13">
        <f>$I$23*$AZ$23</f>
        <v>0</v>
      </c>
      <c r="BA75" s="13">
        <f>$I$23*$BA$23</f>
        <v>327.84159041619802</v>
      </c>
      <c r="BB75" s="13">
        <f>$I$23*$BB$23</f>
        <v>0</v>
      </c>
      <c r="BC75" s="13">
        <f>$I$23*$BC$23</f>
        <v>0</v>
      </c>
      <c r="BD75" s="13">
        <f>$I$23*$BD$23</f>
        <v>0</v>
      </c>
    </row>
    <row r="76" spans="1:56" ht="11.25" customHeight="1" x14ac:dyDescent="0.3">
      <c r="A76" s="9" t="s">
        <v>22</v>
      </c>
      <c r="B76" s="9" t="s">
        <v>773</v>
      </c>
      <c r="C76" s="9" t="s">
        <v>774</v>
      </c>
      <c r="D76" s="9" t="s">
        <v>791</v>
      </c>
      <c r="E76" s="9" t="s">
        <v>792</v>
      </c>
      <c r="F76" s="9" t="s">
        <v>793</v>
      </c>
      <c r="G76" s="9" t="s">
        <v>794</v>
      </c>
      <c r="L76" s="13">
        <f>$I$24*$L$24</f>
        <v>0</v>
      </c>
      <c r="M76" s="13">
        <f>$I$24*$M$24</f>
        <v>76.698624709798281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5987.5844489150168</v>
      </c>
      <c r="Y76" s="13">
        <f>$I$24*$Y$24</f>
        <v>0</v>
      </c>
      <c r="Z76" s="13">
        <f>$I$24*$Z$24</f>
        <v>0</v>
      </c>
      <c r="AA76" s="13">
        <f>$I$24*$AA$24</f>
        <v>11300.487192976227</v>
      </c>
      <c r="AB76" s="13">
        <f ca="1">$I$24*$AB$24</f>
        <v>0</v>
      </c>
      <c r="AC76" s="13">
        <f ca="1">$I$24*$AC$24</f>
        <v>0</v>
      </c>
      <c r="AD76" s="13">
        <f>$I$24*$AD$24</f>
        <v>91.846538622418549</v>
      </c>
      <c r="AE76" s="13">
        <f>$I$24*$AE$24</f>
        <v>3.7117269699318447</v>
      </c>
      <c r="AF76" s="13">
        <f ca="1">$I$24*$AF$24</f>
        <v>0</v>
      </c>
      <c r="AG76" s="13">
        <f ca="1">$I$24*$AG$24</f>
        <v>0</v>
      </c>
      <c r="AI76" s="13">
        <f>$I$24*$AI$24</f>
        <v>0</v>
      </c>
      <c r="AJ76" s="13">
        <f>$I$24*$AJ$24</f>
        <v>55.394079059478003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4682.2622166154933</v>
      </c>
      <c r="AV76" s="13">
        <f>$I$24*$AV$24</f>
        <v>0</v>
      </c>
      <c r="AW76" s="13">
        <f>$I$24*$AW$24</f>
        <v>0</v>
      </c>
      <c r="AX76" s="13">
        <f>$I$24*$AX$24</f>
        <v>7140.8923794918892</v>
      </c>
      <c r="AY76" s="13">
        <f>$I$24*$AY$24</f>
        <v>0</v>
      </c>
      <c r="AZ76" s="13">
        <f>$I$24*$AZ$24</f>
        <v>0</v>
      </c>
      <c r="BA76" s="13">
        <f>$I$24*$BA$24</f>
        <v>122.27149710553998</v>
      </c>
      <c r="BB76" s="13">
        <f>$I$24*$BB$24</f>
        <v>0</v>
      </c>
      <c r="BC76" s="13">
        <f>$I$24*$BC$24</f>
        <v>0</v>
      </c>
      <c r="BD76" s="13">
        <f>$I$24*$BD$24</f>
        <v>0</v>
      </c>
    </row>
    <row r="77" spans="1:56" ht="11.25" customHeight="1" x14ac:dyDescent="0.3">
      <c r="A77" s="9" t="s">
        <v>22</v>
      </c>
      <c r="B77" s="9" t="s">
        <v>795</v>
      </c>
      <c r="C77" s="9" t="s">
        <v>796</v>
      </c>
      <c r="D77" s="9" t="s">
        <v>797</v>
      </c>
      <c r="E77" s="9" t="s">
        <v>798</v>
      </c>
      <c r="F77" s="9" t="s">
        <v>799</v>
      </c>
      <c r="G77" s="9" t="s">
        <v>800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3">
      <c r="A78" s="9" t="s">
        <v>22</v>
      </c>
      <c r="B78" s="9" t="s">
        <v>795</v>
      </c>
      <c r="C78" s="9" t="s">
        <v>796</v>
      </c>
      <c r="D78" s="9" t="s">
        <v>801</v>
      </c>
      <c r="E78" s="9" t="s">
        <v>802</v>
      </c>
      <c r="F78" s="9" t="s">
        <v>803</v>
      </c>
      <c r="G78" s="9" t="s">
        <v>804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3">
      <c r="A79" s="9" t="s">
        <v>22</v>
      </c>
      <c r="B79" s="9" t="s">
        <v>795</v>
      </c>
      <c r="C79" s="9" t="s">
        <v>796</v>
      </c>
      <c r="D79" s="9" t="s">
        <v>805</v>
      </c>
      <c r="E79" s="9" t="s">
        <v>806</v>
      </c>
      <c r="F79" s="9" t="s">
        <v>807</v>
      </c>
      <c r="G79" s="9" t="s">
        <v>808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3">
      <c r="A80" s="9" t="s">
        <v>22</v>
      </c>
      <c r="B80" s="9" t="s">
        <v>795</v>
      </c>
      <c r="C80" s="9" t="s">
        <v>796</v>
      </c>
      <c r="D80" s="9" t="s">
        <v>809</v>
      </c>
      <c r="E80" s="9" t="s">
        <v>810</v>
      </c>
      <c r="F80" s="9" t="s">
        <v>811</v>
      </c>
      <c r="G80" s="9" t="s">
        <v>812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3">
      <c r="A81" s="9" t="s">
        <v>22</v>
      </c>
      <c r="B81" s="9" t="s">
        <v>795</v>
      </c>
      <c r="C81" s="9" t="s">
        <v>796</v>
      </c>
      <c r="D81" s="9" t="s">
        <v>813</v>
      </c>
      <c r="E81" s="9" t="s">
        <v>814</v>
      </c>
      <c r="F81" s="9" t="s">
        <v>815</v>
      </c>
      <c r="G81" s="9" t="s">
        <v>816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3">
      <c r="A82" s="9" t="s">
        <v>42</v>
      </c>
      <c r="B82" s="9" t="s">
        <v>817</v>
      </c>
      <c r="C82" s="9" t="s">
        <v>818</v>
      </c>
      <c r="D82" s="9" t="s">
        <v>819</v>
      </c>
      <c r="E82" s="9" t="s">
        <v>820</v>
      </c>
      <c r="F82" s="9" t="s">
        <v>821</v>
      </c>
      <c r="G82" s="9" t="s">
        <v>822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3">
      <c r="A83" s="9" t="s">
        <v>42</v>
      </c>
      <c r="B83" s="9" t="s">
        <v>817</v>
      </c>
      <c r="C83" s="9" t="s">
        <v>818</v>
      </c>
      <c r="D83" s="9" t="s">
        <v>819</v>
      </c>
      <c r="E83" s="9" t="s">
        <v>820</v>
      </c>
      <c r="F83" s="9" t="s">
        <v>821</v>
      </c>
      <c r="G83" s="9" t="s">
        <v>823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3">
      <c r="A84" s="9" t="s">
        <v>42</v>
      </c>
      <c r="B84" s="9" t="s">
        <v>817</v>
      </c>
      <c r="C84" s="9" t="s">
        <v>818</v>
      </c>
      <c r="D84" s="9" t="s">
        <v>819</v>
      </c>
      <c r="E84" s="9" t="s">
        <v>820</v>
      </c>
      <c r="F84" s="9" t="s">
        <v>821</v>
      </c>
      <c r="G84" s="9" t="s">
        <v>824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3">
      <c r="A85" s="9" t="s">
        <v>42</v>
      </c>
      <c r="B85" s="9" t="s">
        <v>825</v>
      </c>
      <c r="C85" s="9" t="s">
        <v>826</v>
      </c>
      <c r="D85" s="9" t="s">
        <v>827</v>
      </c>
      <c r="E85" s="9" t="s">
        <v>828</v>
      </c>
      <c r="F85" s="9" t="s">
        <v>829</v>
      </c>
      <c r="G85" s="9" t="s">
        <v>830</v>
      </c>
      <c r="L85" s="13">
        <f>$I$33*$L$33</f>
        <v>0</v>
      </c>
      <c r="M85" s="13">
        <f>$I$33*$M$33</f>
        <v>7895.6258610914128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452740.91064568673</v>
      </c>
      <c r="R85" s="13">
        <f>$I$33*$R$33</f>
        <v>71051.346430154808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616382.97686819779</v>
      </c>
      <c r="Y85" s="13">
        <f>$I$33*$Y$33</f>
        <v>0</v>
      </c>
      <c r="Z85" s="13">
        <f>$I$33*$Z$33</f>
        <v>0</v>
      </c>
      <c r="AA85" s="13">
        <f>$I$33*$AA$33</f>
        <v>1163311.8489593586</v>
      </c>
      <c r="AB85" s="13">
        <f ca="1">$I$33*$AB$33</f>
        <v>0</v>
      </c>
      <c r="AC85" s="13">
        <f ca="1">$I$33*$AC$33</f>
        <v>0</v>
      </c>
      <c r="AD85" s="13">
        <f>$I$33*$AD$33</f>
        <v>9455.0053321393698</v>
      </c>
      <c r="AE85" s="13">
        <f>$I$33*$AE$33</f>
        <v>382.09821315557997</v>
      </c>
      <c r="AF85" s="13">
        <f ca="1">$I$33*$AF$33</f>
        <v>0</v>
      </c>
      <c r="AG85" s="13">
        <f ca="1">$I$33*$AG$33</f>
        <v>0</v>
      </c>
      <c r="AI85" s="13">
        <f>$I$33*$AI$33</f>
        <v>0</v>
      </c>
      <c r="AJ85" s="13">
        <f>$I$33*$AJ$33</f>
        <v>5338.4742132480133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284243.83297986322</v>
      </c>
      <c r="AO85" s="13">
        <f>$I$33*$AO$33</f>
        <v>44328.772596305185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451242.01949865971</v>
      </c>
      <c r="AV85" s="13">
        <f>$I$33*$AV$33</f>
        <v>0</v>
      </c>
      <c r="AW85" s="13">
        <f>$I$33*$AW$33</f>
        <v>0</v>
      </c>
      <c r="AX85" s="13">
        <f>$I$33*$AX$33</f>
        <v>688186.72455163614</v>
      </c>
      <c r="AY85" s="13">
        <f>$I$33*$AY$33</f>
        <v>0</v>
      </c>
      <c r="AZ85" s="13">
        <f>$I$33*$AZ$33</f>
        <v>0</v>
      </c>
      <c r="BA85" s="13">
        <f>$I$33*$BA$33</f>
        <v>11783.62823962266</v>
      </c>
      <c r="BB85" s="13">
        <f>$I$33*$BB$33</f>
        <v>0</v>
      </c>
      <c r="BC85" s="13">
        <f>$I$33*$BC$33</f>
        <v>0</v>
      </c>
      <c r="BD85" s="13">
        <f>$I$33*$BD$33</f>
        <v>0</v>
      </c>
    </row>
    <row r="86" spans="1:56" ht="11.25" customHeight="1" x14ac:dyDescent="0.3">
      <c r="A86" s="9" t="s">
        <v>42</v>
      </c>
      <c r="B86" s="9" t="s">
        <v>817</v>
      </c>
      <c r="C86" s="9" t="s">
        <v>818</v>
      </c>
      <c r="D86" s="9" t="s">
        <v>831</v>
      </c>
      <c r="E86" s="9" t="s">
        <v>832</v>
      </c>
      <c r="F86" s="9" t="s">
        <v>833</v>
      </c>
      <c r="G86" s="9" t="s">
        <v>834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3">
      <c r="A87" s="9" t="s">
        <v>42</v>
      </c>
      <c r="B87" s="9" t="s">
        <v>817</v>
      </c>
      <c r="C87" s="9" t="s">
        <v>818</v>
      </c>
      <c r="D87" s="9" t="s">
        <v>831</v>
      </c>
      <c r="E87" s="9" t="s">
        <v>832</v>
      </c>
      <c r="F87" s="9" t="s">
        <v>833</v>
      </c>
      <c r="G87" s="9" t="s">
        <v>835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3">
      <c r="A88" s="9" t="s">
        <v>42</v>
      </c>
      <c r="B88" s="9" t="s">
        <v>817</v>
      </c>
      <c r="C88" s="9" t="s">
        <v>818</v>
      </c>
      <c r="D88" s="9" t="s">
        <v>831</v>
      </c>
      <c r="E88" s="9" t="s">
        <v>832</v>
      </c>
      <c r="F88" s="9" t="s">
        <v>833</v>
      </c>
      <c r="G88" s="9" t="s">
        <v>836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3">
      <c r="A89" s="9" t="s">
        <v>42</v>
      </c>
      <c r="B89" s="9" t="s">
        <v>825</v>
      </c>
      <c r="C89" s="9" t="s">
        <v>826</v>
      </c>
      <c r="D89" s="9" t="s">
        <v>837</v>
      </c>
      <c r="E89" s="9" t="s">
        <v>838</v>
      </c>
      <c r="F89" s="9" t="s">
        <v>839</v>
      </c>
      <c r="G89" s="9" t="s">
        <v>840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3">
      <c r="A90" s="9" t="s">
        <v>42</v>
      </c>
      <c r="B90" s="9" t="s">
        <v>817</v>
      </c>
      <c r="C90" s="9" t="s">
        <v>818</v>
      </c>
      <c r="D90" s="9" t="s">
        <v>841</v>
      </c>
      <c r="E90" s="9" t="s">
        <v>842</v>
      </c>
      <c r="F90" s="9" t="s">
        <v>843</v>
      </c>
      <c r="G90" s="9" t="s">
        <v>844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3">
      <c r="A91" s="9" t="s">
        <v>42</v>
      </c>
      <c r="B91" s="9" t="s">
        <v>817</v>
      </c>
      <c r="C91" s="9" t="s">
        <v>818</v>
      </c>
      <c r="D91" s="9" t="s">
        <v>841</v>
      </c>
      <c r="E91" s="9" t="s">
        <v>842</v>
      </c>
      <c r="F91" s="9" t="s">
        <v>843</v>
      </c>
      <c r="G91" s="9" t="s">
        <v>845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3">
      <c r="A92" s="9" t="s">
        <v>42</v>
      </c>
      <c r="B92" s="9" t="s">
        <v>817</v>
      </c>
      <c r="C92" s="9" t="s">
        <v>818</v>
      </c>
      <c r="D92" s="9" t="s">
        <v>841</v>
      </c>
      <c r="E92" s="9" t="s">
        <v>842</v>
      </c>
      <c r="F92" s="9" t="s">
        <v>843</v>
      </c>
      <c r="G92" s="9" t="s">
        <v>846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3">
      <c r="A93" s="9" t="s">
        <v>42</v>
      </c>
      <c r="B93" s="9" t="s">
        <v>825</v>
      </c>
      <c r="C93" s="9" t="s">
        <v>826</v>
      </c>
      <c r="D93" s="9" t="s">
        <v>847</v>
      </c>
      <c r="E93" s="9" t="s">
        <v>848</v>
      </c>
      <c r="F93" s="9" t="s">
        <v>849</v>
      </c>
      <c r="G93" s="9" t="s">
        <v>850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3">
      <c r="A94" s="9" t="s">
        <v>42</v>
      </c>
      <c r="B94" s="9" t="s">
        <v>851</v>
      </c>
      <c r="C94" s="9" t="s">
        <v>852</v>
      </c>
      <c r="D94" s="9" t="s">
        <v>853</v>
      </c>
      <c r="E94" s="9" t="s">
        <v>854</v>
      </c>
      <c r="F94" s="9" t="s">
        <v>855</v>
      </c>
      <c r="G94" s="9" t="s">
        <v>856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3">
      <c r="A95" s="9" t="s">
        <v>42</v>
      </c>
      <c r="B95" s="9" t="s">
        <v>851</v>
      </c>
      <c r="C95" s="9" t="s">
        <v>852</v>
      </c>
      <c r="D95" s="9" t="s">
        <v>857</v>
      </c>
      <c r="E95" s="9" t="s">
        <v>858</v>
      </c>
      <c r="F95" s="9" t="s">
        <v>859</v>
      </c>
      <c r="G95" s="9" t="s">
        <v>860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3">
      <c r="A96" s="9" t="s">
        <v>42</v>
      </c>
      <c r="B96" s="9" t="s">
        <v>851</v>
      </c>
      <c r="C96" s="9" t="s">
        <v>852</v>
      </c>
      <c r="D96" s="9" t="s">
        <v>861</v>
      </c>
      <c r="E96" s="9" t="s">
        <v>862</v>
      </c>
      <c r="F96" s="9" t="s">
        <v>863</v>
      </c>
      <c r="G96" s="9" t="s">
        <v>864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3">
      <c r="A97" s="9" t="s">
        <v>33</v>
      </c>
      <c r="B97" s="9" t="s">
        <v>865</v>
      </c>
      <c r="C97" s="9" t="s">
        <v>866</v>
      </c>
      <c r="D97" s="9" t="s">
        <v>867</v>
      </c>
      <c r="E97" s="9" t="s">
        <v>868</v>
      </c>
      <c r="F97" s="9" t="s">
        <v>869</v>
      </c>
      <c r="G97" s="9" t="s">
        <v>870</v>
      </c>
      <c r="L97" s="13">
        <f>$I$45*$L$45</f>
        <v>0</v>
      </c>
      <c r="M97" s="13">
        <f>$I$45*$M$45</f>
        <v>1.322784204893896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75.849405233673281</v>
      </c>
      <c r="R97" s="13">
        <f>$I$45*$R$45</f>
        <v>11.903502071621901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356.35319224634219</v>
      </c>
      <c r="Y97" s="13">
        <f>$I$45*$Y$45</f>
        <v>0</v>
      </c>
      <c r="Z97" s="13">
        <f>$I$45*$Z$45</f>
        <v>0</v>
      </c>
      <c r="AA97" s="13">
        <f>$I$45*$AA$45</f>
        <v>672.38423847831712</v>
      </c>
      <c r="AB97" s="13">
        <f ca="1">$I$45*$AB$45</f>
        <v>0</v>
      </c>
      <c r="AC97" s="13">
        <f ca="1">$I$45*$AC$45</f>
        <v>0</v>
      </c>
      <c r="AD97" s="13">
        <f>$I$45*$AD$45</f>
        <v>1.5840329735194278</v>
      </c>
      <c r="AE97" s="13">
        <f>$I$45*$AE$45</f>
        <v>6.4014365671895737E-2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0.95535497672568293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50.867298331610421</v>
      </c>
      <c r="AO97" s="13">
        <f>$I$45*$AO$45</f>
        <v>7.9329246185971591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278.66654997510284</v>
      </c>
      <c r="AV97" s="13">
        <f>$I$45*$AV$45</f>
        <v>0</v>
      </c>
      <c r="AW97" s="13">
        <f>$I$45*$AW$45</f>
        <v>0</v>
      </c>
      <c r="AX97" s="13">
        <f>$I$45*$AX$45</f>
        <v>424.88644787228736</v>
      </c>
      <c r="AY97" s="13">
        <f>$I$45*$AY$45</f>
        <v>0</v>
      </c>
      <c r="AZ97" s="13">
        <f>$I$45*$AZ$45</f>
        <v>0</v>
      </c>
      <c r="BA97" s="13">
        <f>$I$45*$BA$45</f>
        <v>2.1087575649746402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3">
      <c r="A98" s="9" t="s">
        <v>33</v>
      </c>
      <c r="B98" s="9" t="s">
        <v>865</v>
      </c>
      <c r="C98" s="9" t="s">
        <v>866</v>
      </c>
      <c r="D98" s="9" t="s">
        <v>867</v>
      </c>
      <c r="E98" s="9" t="s">
        <v>868</v>
      </c>
      <c r="F98" s="9" t="s">
        <v>869</v>
      </c>
      <c r="G98" s="9" t="s">
        <v>871</v>
      </c>
      <c r="L98" s="13">
        <f>$I$46*$L$46</f>
        <v>0</v>
      </c>
      <c r="M98" s="13">
        <f>$I$46*$M$46</f>
        <v>0.87626833849538077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50.245861761937967</v>
      </c>
      <c r="R98" s="13">
        <f>$I$46*$R$46</f>
        <v>7.8853844368463077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141.61105649901577</v>
      </c>
      <c r="Y98" s="13">
        <f>$I$46*$Y$46</f>
        <v>0</v>
      </c>
      <c r="Z98" s="13">
        <f>$I$46*$Z$46</f>
        <v>0</v>
      </c>
      <c r="AA98" s="13">
        <f>$I$46*$AA$46</f>
        <v>267.24947528121834</v>
      </c>
      <c r="AB98" s="13">
        <f ca="1">$I$46*$AB$46</f>
        <v>0</v>
      </c>
      <c r="AC98" s="13">
        <f ca="1">$I$46*$AC$46</f>
        <v>0</v>
      </c>
      <c r="AD98" s="13">
        <f>$I$46*$AD$46</f>
        <v>1.0493305988175938</v>
      </c>
      <c r="AE98" s="13">
        <f>$I$46*$AE$46</f>
        <v>4.2405829794170576E-2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0.63286764011205976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33.696655000778804</v>
      </c>
      <c r="AO98" s="13">
        <f>$I$46*$AO$46</f>
        <v>5.2551055941167837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110.73916856275576</v>
      </c>
      <c r="AV98" s="13">
        <f>$I$46*$AV$46</f>
        <v>0</v>
      </c>
      <c r="AW98" s="13">
        <f>$I$46*$AW$46</f>
        <v>0</v>
      </c>
      <c r="AX98" s="13">
        <f>$I$46*$AX$46</f>
        <v>168.87765132980871</v>
      </c>
      <c r="AY98" s="13">
        <f>$I$46*$AY$46</f>
        <v>0</v>
      </c>
      <c r="AZ98" s="13">
        <f>$I$46*$AZ$46</f>
        <v>0</v>
      </c>
      <c r="BA98" s="13">
        <f>$I$46*$BA$46</f>
        <v>1.3969304145857357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3">
      <c r="A99" s="9" t="s">
        <v>33</v>
      </c>
      <c r="B99" s="9" t="s">
        <v>865</v>
      </c>
      <c r="C99" s="9" t="s">
        <v>866</v>
      </c>
      <c r="D99" s="9" t="s">
        <v>867</v>
      </c>
      <c r="E99" s="9" t="s">
        <v>868</v>
      </c>
      <c r="F99" s="9" t="s">
        <v>869</v>
      </c>
      <c r="G99" s="9" t="s">
        <v>872</v>
      </c>
      <c r="L99" s="13">
        <f>$I$47*$L$47</f>
        <v>0</v>
      </c>
      <c r="M99" s="13">
        <f>$I$47*$M$47</f>
        <v>14.628347445595056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838.80004704842156</v>
      </c>
      <c r="R99" s="13">
        <f>$I$47*$R$47</f>
        <v>131.63792210310902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787.82626802224217</v>
      </c>
      <c r="Y99" s="13">
        <f>$I$47*$Y$47</f>
        <v>0</v>
      </c>
      <c r="Z99" s="13">
        <f>$I$47*$Z$47</f>
        <v>0</v>
      </c>
      <c r="AA99" s="13">
        <f>$I$47*$AA$47</f>
        <v>1487.1484896569816</v>
      </c>
      <c r="AB99" s="13">
        <f ca="1">$I$47*$AB$47</f>
        <v>0</v>
      </c>
      <c r="AC99" s="13">
        <f ca="1">$I$47*$AC$47</f>
        <v>0</v>
      </c>
      <c r="AD99" s="13">
        <f>$I$47*$AD$47</f>
        <v>17.517433770521876</v>
      </c>
      <c r="AE99" s="13">
        <f>$I$47*$AE$47</f>
        <v>0.70791923512042298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10.565037352062017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562.52902843908817</v>
      </c>
      <c r="AO99" s="13">
        <f>$I$47*$AO$47</f>
        <v>87.728275822481734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616.07620918048815</v>
      </c>
      <c r="AV99" s="13">
        <f>$I$47*$AV$47</f>
        <v>0</v>
      </c>
      <c r="AW99" s="13">
        <f>$I$47*$AW$47</f>
        <v>0</v>
      </c>
      <c r="AX99" s="13">
        <f>$I$47*$AX$47</f>
        <v>939.74398150099876</v>
      </c>
      <c r="AY99" s="13">
        <f>$I$47*$AY$47</f>
        <v>0</v>
      </c>
      <c r="AZ99" s="13">
        <f>$I$47*$AZ$47</f>
        <v>0</v>
      </c>
      <c r="BA99" s="13">
        <f>$I$47*$BA$47</f>
        <v>23.320234868884302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3">
      <c r="A100" s="9" t="s">
        <v>33</v>
      </c>
      <c r="B100" s="9" t="s">
        <v>873</v>
      </c>
      <c r="C100" s="9" t="s">
        <v>874</v>
      </c>
      <c r="D100" s="9" t="s">
        <v>875</v>
      </c>
      <c r="E100" s="9" t="s">
        <v>876</v>
      </c>
      <c r="F100" s="9" t="s">
        <v>877</v>
      </c>
      <c r="G100" s="9" t="s">
        <v>878</v>
      </c>
      <c r="L100" s="13">
        <f>$I$48*$L$48</f>
        <v>0</v>
      </c>
      <c r="M100" s="13">
        <f>$I$48*$M$48</f>
        <v>4928.4318289055791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282599.85383419192</v>
      </c>
      <c r="R100" s="13">
        <f>$I$48*$R$48</f>
        <v>44350.089960388206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384744.86195738788</v>
      </c>
      <c r="Y100" s="13">
        <f>$I$48*$Y$48</f>
        <v>0</v>
      </c>
      <c r="Z100" s="13">
        <f>$I$48*$Z$48</f>
        <v>0</v>
      </c>
      <c r="AA100" s="13">
        <f>$I$48*$AA$48</f>
        <v>726136.62858662708</v>
      </c>
      <c r="AB100" s="13">
        <f ca="1">$I$48*$AB$48</f>
        <v>0</v>
      </c>
      <c r="AC100" s="13">
        <f ca="1">$I$48*$AC$48</f>
        <v>0</v>
      </c>
      <c r="AD100" s="13">
        <f>$I$48*$AD$48</f>
        <v>5901.7929726151369</v>
      </c>
      <c r="AE100" s="13">
        <f>$I$48*$AE$48</f>
        <v>238.50484161917998</v>
      </c>
      <c r="AF100" s="13">
        <f ca="1">$I$48*$AF$48</f>
        <v>0</v>
      </c>
      <c r="AG100" s="13">
        <f ca="1">$I$48*$AG$48</f>
        <v>0</v>
      </c>
      <c r="AI100" s="13">
        <f>$I$48*$AI$48</f>
        <v>0</v>
      </c>
      <c r="AJ100" s="13">
        <f>$I$48*$AJ$48</f>
        <v>3559.4633333075499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189521.47388851942</v>
      </c>
      <c r="AO100" s="13">
        <f>$I$48*$AO$48</f>
        <v>29556.505166871837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300868.63000428467</v>
      </c>
      <c r="AV100" s="13">
        <f>$I$48*$AV$48</f>
        <v>0</v>
      </c>
      <c r="AW100" s="13">
        <f>$I$48*$AW$48</f>
        <v>0</v>
      </c>
      <c r="AX100" s="13">
        <f>$I$48*$AX$48</f>
        <v>458853.09447251604</v>
      </c>
      <c r="AY100" s="13">
        <f>$I$48*$AY$48</f>
        <v>0</v>
      </c>
      <c r="AZ100" s="13">
        <f>$I$48*$AZ$48</f>
        <v>0</v>
      </c>
      <c r="BA100" s="13">
        <f>$I$48*$BA$48</f>
        <v>7856.8128226932386</v>
      </c>
      <c r="BB100" s="13">
        <f>$I$48*$BB$48</f>
        <v>0</v>
      </c>
      <c r="BC100" s="13">
        <f>$I$48*$BC$48</f>
        <v>0</v>
      </c>
      <c r="BD100" s="13">
        <f>$I$48*$BD$48</f>
        <v>0</v>
      </c>
    </row>
    <row r="101" spans="1:56" ht="11.25" customHeight="1" x14ac:dyDescent="0.3">
      <c r="A101" s="9" t="s">
        <v>33</v>
      </c>
      <c r="B101" s="9" t="s">
        <v>879</v>
      </c>
      <c r="C101" s="9" t="s">
        <v>880</v>
      </c>
      <c r="D101" s="9" t="s">
        <v>881</v>
      </c>
      <c r="E101" s="9" t="s">
        <v>882</v>
      </c>
      <c r="F101" s="9" t="s">
        <v>883</v>
      </c>
      <c r="G101" s="9" t="s">
        <v>884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3">
      <c r="A102" s="9" t="s">
        <v>45</v>
      </c>
      <c r="B102" s="9" t="s">
        <v>885</v>
      </c>
      <c r="C102" s="9" t="s">
        <v>886</v>
      </c>
      <c r="D102" s="9" t="s">
        <v>887</v>
      </c>
      <c r="E102" s="9" t="s">
        <v>888</v>
      </c>
      <c r="F102" s="9" t="s">
        <v>889</v>
      </c>
      <c r="G102" s="9" t="s">
        <v>890</v>
      </c>
      <c r="L102" s="13">
        <f>$I$50*$L$50</f>
        <v>0</v>
      </c>
      <c r="M102" s="13">
        <f>$I$50*$M$50</f>
        <v>1014.2088240018933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58155.469197984079</v>
      </c>
      <c r="R102" s="13">
        <f>$I$50*$R$50</f>
        <v>9126.6865698113816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79175.617627082916</v>
      </c>
      <c r="Y102" s="13">
        <f>$I$50*$Y$50</f>
        <v>0</v>
      </c>
      <c r="Z102" s="13">
        <f>$I$50*$Z$50</f>
        <v>0</v>
      </c>
      <c r="AA102" s="13">
        <f>$I$50*$AA$50</f>
        <v>149429.71754710897</v>
      </c>
      <c r="AB102" s="13">
        <f ca="1">$I$50*$AB$50</f>
        <v>0</v>
      </c>
      <c r="AC102" s="13">
        <f ca="1">$I$50*$AC$50</f>
        <v>0</v>
      </c>
      <c r="AD102" s="13">
        <f>$I$50*$AD$50</f>
        <v>1214.5142142684006</v>
      </c>
      <c r="AE102" s="13">
        <f>$I$50*$AE$50</f>
        <v>49.081274396172766</v>
      </c>
      <c r="AF102" s="13">
        <f ca="1">$I$50*$AF$50</f>
        <v>0</v>
      </c>
      <c r="AG102" s="13">
        <f ca="1">$I$50*$AG$50</f>
        <v>0</v>
      </c>
      <c r="AI102" s="13">
        <f>$I$50*$AI$50</f>
        <v>0</v>
      </c>
      <c r="AJ102" s="13">
        <f>$I$50*$AJ$50</f>
        <v>732.49245331518921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39001.1179678353</v>
      </c>
      <c r="AO102" s="13">
        <f>$I$50*$AO$50</f>
        <v>6082.3542634971582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61914.951856697851</v>
      </c>
      <c r="AV102" s="13">
        <f>$I$50*$AV$50</f>
        <v>0</v>
      </c>
      <c r="AW102" s="13">
        <f>$I$50*$AW$50</f>
        <v>0</v>
      </c>
      <c r="AX102" s="13">
        <f>$I$50*$AX$50</f>
        <v>94426.152879939953</v>
      </c>
      <c r="AY102" s="13">
        <f>$I$50*$AY$50</f>
        <v>0</v>
      </c>
      <c r="AZ102" s="13">
        <f>$I$50*$AZ$50</f>
        <v>0</v>
      </c>
      <c r="BA102" s="13">
        <f>$I$50*$BA$50</f>
        <v>1616.8325280612062</v>
      </c>
      <c r="BB102" s="13">
        <f>$I$50*$BB$50</f>
        <v>0</v>
      </c>
      <c r="BC102" s="13">
        <f>$I$50*$BC$50</f>
        <v>0</v>
      </c>
      <c r="BD102" s="13">
        <f>$I$50*$BD$50</f>
        <v>0</v>
      </c>
    </row>
    <row r="103" spans="1:56" ht="11.25" customHeight="1" x14ac:dyDescent="0.3">
      <c r="A103" s="9" t="s">
        <v>45</v>
      </c>
      <c r="B103" s="9" t="s">
        <v>885</v>
      </c>
      <c r="C103" s="9" t="s">
        <v>886</v>
      </c>
      <c r="D103" s="9" t="s">
        <v>891</v>
      </c>
      <c r="E103" s="9" t="s">
        <v>892</v>
      </c>
      <c r="F103" s="9" t="s">
        <v>893</v>
      </c>
      <c r="G103" s="9" t="s">
        <v>894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D571-6F87-4E47-A75C-AF97BC4443BC}">
  <dimension ref="A1:AH83"/>
  <sheetViews>
    <sheetView showGridLines="0" topLeftCell="L1" workbookViewId="0">
      <selection activeCell="V42" sqref="V42"/>
    </sheetView>
  </sheetViews>
  <sheetFormatPr defaultColWidth="9.109375" defaultRowHeight="11.25" customHeight="1" x14ac:dyDescent="0.3"/>
  <cols>
    <col min="1" max="1" width="9.33203125" style="9" bestFit="1" customWidth="1"/>
    <col min="2" max="2" width="29" style="9" bestFit="1" customWidth="1"/>
    <col min="3" max="3" width="38.6640625" style="9" bestFit="1" customWidth="1"/>
    <col min="4" max="4" width="61.6640625" style="9" bestFit="1" customWidth="1"/>
    <col min="5" max="5" width="71.44140625" style="9" bestFit="1" customWidth="1"/>
    <col min="6" max="6" width="81" style="9" bestFit="1" customWidth="1"/>
    <col min="7" max="7" width="81.8867187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20" style="9" bestFit="1" customWidth="1"/>
    <col min="12" max="12" width="4.109375" style="9" bestFit="1" customWidth="1"/>
    <col min="13" max="13" width="8.6640625" style="9" bestFit="1" customWidth="1"/>
    <col min="14" max="14" width="6" style="9" bestFit="1" customWidth="1"/>
    <col min="15" max="15" width="11.109375" style="9" bestFit="1" customWidth="1"/>
    <col min="16" max="16" width="9.33203125" style="9" bestFit="1" customWidth="1"/>
    <col min="17" max="17" width="15" style="9" bestFit="1" customWidth="1"/>
    <col min="18" max="18" width="6" style="9" bestFit="1" customWidth="1"/>
    <col min="19" max="19" width="10.44140625" style="9" bestFit="1" customWidth="1"/>
    <col min="20" max="20" width="7" style="9" bestFit="1" customWidth="1"/>
    <col min="21" max="21" width="11.109375" style="9" bestFit="1" customWidth="1"/>
    <col min="22" max="22" width="11" style="9" bestFit="1" customWidth="1"/>
    <col min="23" max="23" width="9.109375" style="9"/>
    <col min="24" max="24" width="4.109375" style="9" bestFit="1" customWidth="1"/>
    <col min="25" max="25" width="8.6640625" style="9" bestFit="1" customWidth="1"/>
    <col min="26" max="26" width="6" style="9" bestFit="1" customWidth="1"/>
    <col min="27" max="27" width="11.109375" style="9" bestFit="1" customWidth="1"/>
    <col min="28" max="28" width="9.33203125" style="9" bestFit="1" customWidth="1"/>
    <col min="29" max="29" width="15" style="9" bestFit="1" customWidth="1"/>
    <col min="30" max="30" width="6" style="9" bestFit="1" customWidth="1"/>
    <col min="31" max="31" width="10.44140625" style="9" bestFit="1" customWidth="1"/>
    <col min="32" max="32" width="7" style="9" bestFit="1" customWidth="1"/>
    <col min="33" max="33" width="11.109375" style="9" bestFit="1" customWidth="1"/>
    <col min="34" max="34" width="11" style="9" bestFit="1" customWidth="1"/>
    <col min="35" max="16384" width="9.109375" style="9"/>
  </cols>
  <sheetData>
    <row r="1" spans="1:34" ht="11.25" customHeight="1" x14ac:dyDescent="0.3">
      <c r="A1" s="102" t="s">
        <v>62</v>
      </c>
      <c r="B1" s="102" t="s">
        <v>63</v>
      </c>
      <c r="C1" s="102" t="s">
        <v>64</v>
      </c>
      <c r="D1" s="102" t="s">
        <v>65</v>
      </c>
      <c r="E1" s="102" t="s">
        <v>66</v>
      </c>
      <c r="F1" s="102" t="s">
        <v>15</v>
      </c>
      <c r="G1" s="102" t="s">
        <v>68</v>
      </c>
      <c r="H1" s="102" t="s">
        <v>69</v>
      </c>
      <c r="I1" s="102" t="s">
        <v>524</v>
      </c>
      <c r="J1" s="85"/>
      <c r="L1" s="100" t="s">
        <v>895</v>
      </c>
      <c r="M1" s="100"/>
      <c r="N1" s="100"/>
      <c r="O1" s="100"/>
      <c r="P1" s="100"/>
      <c r="Q1" s="100"/>
      <c r="R1" s="100"/>
      <c r="S1" s="100"/>
      <c r="T1" s="100"/>
      <c r="U1" s="100"/>
      <c r="V1" s="100"/>
      <c r="X1" s="100" t="s">
        <v>896</v>
      </c>
      <c r="Y1" s="100"/>
      <c r="Z1" s="100"/>
      <c r="AA1" s="100"/>
      <c r="AB1" s="100"/>
      <c r="AC1" s="100"/>
      <c r="AD1" s="100"/>
      <c r="AE1" s="100"/>
      <c r="AF1" s="100"/>
      <c r="AG1" s="100"/>
      <c r="AH1" s="100"/>
    </row>
    <row r="2" spans="1:34" ht="11.25" customHeight="1" x14ac:dyDescent="0.3">
      <c r="A2" s="102"/>
      <c r="B2" s="102"/>
      <c r="C2" s="102"/>
      <c r="D2" s="102"/>
      <c r="E2" s="102"/>
      <c r="F2" s="102"/>
      <c r="G2" s="102"/>
      <c r="H2" s="102"/>
      <c r="I2" s="102"/>
      <c r="J2" s="85"/>
      <c r="L2" s="100" t="s">
        <v>451</v>
      </c>
      <c r="M2" s="100"/>
      <c r="N2" s="100"/>
      <c r="O2" s="100"/>
      <c r="P2" s="100"/>
      <c r="Q2" s="100"/>
      <c r="R2" s="100"/>
      <c r="S2" s="100"/>
      <c r="T2" s="100"/>
      <c r="U2" s="100"/>
      <c r="V2" s="100"/>
      <c r="X2" s="100" t="s">
        <v>451</v>
      </c>
      <c r="Y2" s="100"/>
      <c r="Z2" s="100"/>
      <c r="AA2" s="100"/>
      <c r="AB2" s="100"/>
      <c r="AC2" s="100"/>
      <c r="AD2" s="100"/>
      <c r="AE2" s="100"/>
      <c r="AF2" s="100"/>
      <c r="AG2" s="100"/>
      <c r="AH2" s="100"/>
    </row>
    <row r="3" spans="1:34" ht="11.25" customHeight="1" x14ac:dyDescent="0.3">
      <c r="A3" s="102"/>
      <c r="B3" s="102"/>
      <c r="C3" s="102"/>
      <c r="D3" s="102"/>
      <c r="E3" s="102"/>
      <c r="F3" s="102"/>
      <c r="G3" s="102"/>
      <c r="H3" s="102"/>
      <c r="I3" s="102"/>
      <c r="J3" s="85"/>
      <c r="L3" s="100" t="s">
        <v>424</v>
      </c>
      <c r="M3" s="100"/>
      <c r="N3" s="100"/>
      <c r="O3" s="100"/>
      <c r="P3" s="100"/>
      <c r="Q3" s="30" t="s">
        <v>455</v>
      </c>
      <c r="R3" s="100" t="s">
        <v>433</v>
      </c>
      <c r="S3" s="100"/>
      <c r="T3" s="100"/>
      <c r="U3" s="30" t="s">
        <v>443</v>
      </c>
      <c r="V3" s="30" t="s">
        <v>446</v>
      </c>
      <c r="X3" s="100" t="s">
        <v>424</v>
      </c>
      <c r="Y3" s="100"/>
      <c r="Z3" s="100"/>
      <c r="AA3" s="100"/>
      <c r="AB3" s="100"/>
      <c r="AC3" s="30" t="s">
        <v>455</v>
      </c>
      <c r="AD3" s="100" t="s">
        <v>433</v>
      </c>
      <c r="AE3" s="100"/>
      <c r="AF3" s="100"/>
      <c r="AG3" s="30" t="s">
        <v>443</v>
      </c>
      <c r="AH3" s="30" t="s">
        <v>446</v>
      </c>
    </row>
    <row r="4" spans="1:34" ht="11.25" customHeight="1" x14ac:dyDescent="0.3">
      <c r="A4" s="102"/>
      <c r="B4" s="102"/>
      <c r="C4" s="102"/>
      <c r="D4" s="102"/>
      <c r="E4" s="102"/>
      <c r="F4" s="102"/>
      <c r="G4" s="102"/>
      <c r="H4" s="102"/>
      <c r="I4" s="102"/>
      <c r="J4" s="85"/>
      <c r="L4" s="30" t="s">
        <v>426</v>
      </c>
      <c r="M4" s="30" t="s">
        <v>452</v>
      </c>
      <c r="N4" s="30" t="s">
        <v>453</v>
      </c>
      <c r="O4" s="30" t="s">
        <v>512</v>
      </c>
      <c r="P4" s="30" t="s">
        <v>454</v>
      </c>
      <c r="Q4" s="30" t="s">
        <v>456</v>
      </c>
      <c r="R4" s="30" t="s">
        <v>457</v>
      </c>
      <c r="S4" s="30" t="s">
        <v>458</v>
      </c>
      <c r="T4" s="30" t="s">
        <v>459</v>
      </c>
      <c r="U4" s="30" t="s">
        <v>444</v>
      </c>
      <c r="V4" s="30" t="s">
        <v>460</v>
      </c>
      <c r="X4" s="30" t="s">
        <v>426</v>
      </c>
      <c r="Y4" s="30" t="s">
        <v>452</v>
      </c>
      <c r="Z4" s="30" t="s">
        <v>453</v>
      </c>
      <c r="AA4" s="30" t="s">
        <v>512</v>
      </c>
      <c r="AB4" s="30" t="s">
        <v>454</v>
      </c>
      <c r="AC4" s="30" t="s">
        <v>456</v>
      </c>
      <c r="AD4" s="30" t="s">
        <v>457</v>
      </c>
      <c r="AE4" s="30" t="s">
        <v>458</v>
      </c>
      <c r="AF4" s="30" t="s">
        <v>459</v>
      </c>
      <c r="AG4" s="30" t="s">
        <v>444</v>
      </c>
      <c r="AH4" s="30" t="s">
        <v>460</v>
      </c>
    </row>
    <row r="5" spans="1:34" ht="11.25" customHeight="1" x14ac:dyDescent="0.3">
      <c r="A5" s="103" t="s">
        <v>35</v>
      </c>
      <c r="B5" s="103" t="s">
        <v>71</v>
      </c>
      <c r="C5" s="103" t="s">
        <v>25</v>
      </c>
      <c r="D5" s="103" t="s">
        <v>25</v>
      </c>
      <c r="E5" s="103" t="s">
        <v>25</v>
      </c>
      <c r="F5" s="103" t="s">
        <v>25</v>
      </c>
      <c r="G5" s="29" t="s">
        <v>73</v>
      </c>
      <c r="H5" s="29" t="s">
        <v>72</v>
      </c>
      <c r="I5" s="29">
        <f>'MERCADO TE'!$U$2</f>
        <v>1557.202</v>
      </c>
      <c r="J5" s="15"/>
      <c r="L5" s="26">
        <f>('TE BE'!$L$5+'TE BF'!$L$5+'TE CVA'!$L$5)*1</f>
        <v>0</v>
      </c>
      <c r="M5" s="26">
        <f>('TE BE'!$M$5+'TE BF'!$M$5+'TE CVA'!$M$5)*1</f>
        <v>32.654296888220514</v>
      </c>
      <c r="N5" s="26">
        <f>('TE BE'!$N$5+'TE BF'!$N$5+'TE CVA'!$N$5)*1</f>
        <v>0</v>
      </c>
      <c r="O5" s="26">
        <f>('TE BE'!$O$5+'TE BF'!$O$5+'TE CVA'!$O$5)*1</f>
        <v>0</v>
      </c>
      <c r="P5" s="26">
        <f>('TE BE'!$P$5+'TE BF'!$P$5+'TE CVA'!$P$5)*1</f>
        <v>-13.84593575300415</v>
      </c>
      <c r="Q5" s="26">
        <f>('TE BE'!$R$5+'TE BF'!$R$5+'TE CVA'!$R$5)*1</f>
        <v>165.51049825050308</v>
      </c>
      <c r="R5" s="26">
        <f>('TE BE'!$T$5+'TE BF'!$T$5+'TE CVA'!$T$5)*1</f>
        <v>0</v>
      </c>
      <c r="S5" s="26">
        <f>('TE BE'!$U$5+'TE BF'!$U$5+'TE CVA'!$U$5)*1</f>
        <v>0</v>
      </c>
      <c r="T5" s="26">
        <f>('TE BE'!$V$5+'TE BF'!$V$5+'TE CVA'!$V$5)*1</f>
        <v>0</v>
      </c>
      <c r="U5" s="26">
        <f>('TE BE'!$X$5+'TE BF'!$X$5+'TE CVA'!$X$5)*1</f>
        <v>0</v>
      </c>
      <c r="V5" s="26">
        <f>('TE BE'!$Z$5+'TE BF'!$Z$5+'TE CVA'!$Z$5)*1</f>
        <v>6.6886546774371274</v>
      </c>
      <c r="X5" s="26">
        <v>0</v>
      </c>
      <c r="Y5" s="26">
        <v>4.4069744349768101</v>
      </c>
      <c r="Z5" s="26">
        <v>0</v>
      </c>
      <c r="AA5" s="26">
        <v>0</v>
      </c>
      <c r="AB5" s="26">
        <v>0</v>
      </c>
      <c r="AC5" s="26">
        <v>237.941422663818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</row>
    <row r="6" spans="1:34" ht="11.25" customHeight="1" x14ac:dyDescent="0.3">
      <c r="A6" s="103"/>
      <c r="B6" s="103"/>
      <c r="C6" s="103"/>
      <c r="D6" s="103"/>
      <c r="E6" s="103"/>
      <c r="F6" s="103"/>
      <c r="G6" s="29" t="s">
        <v>74</v>
      </c>
      <c r="H6" s="29" t="s">
        <v>72</v>
      </c>
      <c r="I6" s="29">
        <f>'MERCADO TE'!$U$3</f>
        <v>23427.474000000002</v>
      </c>
      <c r="J6" s="15"/>
      <c r="L6" s="26">
        <f>('TE BE'!$L$6+'TE BF'!$L$6+'TE CVA'!$L$6)*1</f>
        <v>0</v>
      </c>
      <c r="M6" s="26">
        <f>('TE BE'!$M$6+'TE BF'!$M$6+'TE CVA'!$M$6)*1</f>
        <v>32.654296888220514</v>
      </c>
      <c r="N6" s="26">
        <f>('TE BE'!$N$6+'TE BF'!$N$6+'TE CVA'!$N$6)*1</f>
        <v>0</v>
      </c>
      <c r="O6" s="26">
        <f>('TE BE'!$O$6+'TE BF'!$O$6+'TE CVA'!$O$6)*1</f>
        <v>0</v>
      </c>
      <c r="P6" s="26">
        <f>('TE BE'!$P$6+'TE BF'!$P$6+'TE CVA'!$P$6)*1</f>
        <v>-13.84593575300415</v>
      </c>
      <c r="Q6" s="26">
        <f>('TE BE'!$R$6+'TE BF'!$R$6+'TE CVA'!$R$6)*1</f>
        <v>165.51049825050308</v>
      </c>
      <c r="R6" s="26">
        <f>('TE BE'!$T$6+'TE BF'!$T$6+'TE CVA'!$T$6)*1</f>
        <v>0</v>
      </c>
      <c r="S6" s="26">
        <f>('TE BE'!$U$6+'TE BF'!$U$6+'TE CVA'!$U$6)*1</f>
        <v>0</v>
      </c>
      <c r="T6" s="26">
        <f>('TE BE'!$V$6+'TE BF'!$V$6+'TE CVA'!$V$6)*1</f>
        <v>0</v>
      </c>
      <c r="U6" s="26">
        <f>('TE BE'!$X$6+'TE BF'!$X$6+'TE CVA'!$X$6)*1</f>
        <v>0</v>
      </c>
      <c r="V6" s="26">
        <f>('TE BE'!$Z$6+'TE BF'!$Z$6+'TE CVA'!$Z$6)*1</f>
        <v>6.6886546774371274</v>
      </c>
      <c r="X6" s="26">
        <v>0</v>
      </c>
      <c r="Y6" s="26">
        <v>4.4069744349768101</v>
      </c>
      <c r="Z6" s="26">
        <v>0</v>
      </c>
      <c r="AA6" s="26">
        <v>0</v>
      </c>
      <c r="AB6" s="26">
        <v>0</v>
      </c>
      <c r="AC6" s="26">
        <v>237.941422663818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</row>
    <row r="7" spans="1:34" ht="11.25" customHeight="1" x14ac:dyDescent="0.3">
      <c r="A7" s="103" t="s">
        <v>22</v>
      </c>
      <c r="B7" s="103" t="s">
        <v>71</v>
      </c>
      <c r="C7" s="103" t="s">
        <v>24</v>
      </c>
      <c r="D7" s="103" t="s">
        <v>24</v>
      </c>
      <c r="E7" s="103" t="s">
        <v>25</v>
      </c>
      <c r="F7" s="103" t="s">
        <v>25</v>
      </c>
      <c r="G7" s="29" t="s">
        <v>73</v>
      </c>
      <c r="H7" s="29" t="s">
        <v>72</v>
      </c>
      <c r="I7" s="29">
        <f>'MERCADO TE'!$U$4</f>
        <v>0</v>
      </c>
      <c r="J7" s="15"/>
      <c r="L7" s="26">
        <f>('TE BE'!$L$7+'TE BF'!$L$7+'TE CVA'!$L$7)*1</f>
        <v>0</v>
      </c>
      <c r="M7" s="26">
        <f>('TE BE'!$M$7+'TE BF'!$M$7+'TE CVA'!$M$7)*1</f>
        <v>32.654296888220514</v>
      </c>
      <c r="N7" s="26">
        <f>('TE BE'!$N$7+'TE BF'!$N$7+'TE CVA'!$N$7)*1</f>
        <v>0</v>
      </c>
      <c r="O7" s="26">
        <f>('TE BE'!$O$7+'TE BF'!$O$7+'TE CVA'!$O$7)*1</f>
        <v>0</v>
      </c>
      <c r="P7" s="26">
        <f>('TE BE'!$P$7+'TE BF'!$P$7+'TE CVA'!$P$7)*1</f>
        <v>-13.84593575300415</v>
      </c>
      <c r="Q7" s="26">
        <f>('TE BE'!$R$7+'TE BF'!$R$7+'TE CVA'!$R$7)*1</f>
        <v>165.51049825050308</v>
      </c>
      <c r="R7" s="26">
        <f>('TE BE'!$T$7+'TE BF'!$T$7+'TE CVA'!$T$7)*1</f>
        <v>0</v>
      </c>
      <c r="S7" s="26">
        <f>('TE BE'!$U$7+'TE BF'!$U$7+'TE CVA'!$U$7)*1</f>
        <v>0</v>
      </c>
      <c r="T7" s="26">
        <f>('TE BE'!$V$7+'TE BF'!$V$7+'TE CVA'!$V$7)*1</f>
        <v>0</v>
      </c>
      <c r="U7" s="26">
        <f>('TE BE'!$X$7+'TE BF'!$X$7+'TE CVA'!$X$7)*1</f>
        <v>0</v>
      </c>
      <c r="V7" s="26">
        <f>('TE BE'!$Z$7+'TE BF'!$Z$7+'TE CVA'!$Z$7)*1</f>
        <v>6.6886546774371274</v>
      </c>
      <c r="X7" s="26">
        <v>0</v>
      </c>
      <c r="Y7" s="26">
        <v>4.4069744349768101</v>
      </c>
      <c r="Z7" s="26">
        <v>0</v>
      </c>
      <c r="AA7" s="26">
        <v>0</v>
      </c>
      <c r="AB7" s="26">
        <v>0</v>
      </c>
      <c r="AC7" s="26">
        <v>237.941422663818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</row>
    <row r="8" spans="1:34" ht="11.25" customHeight="1" x14ac:dyDescent="0.3">
      <c r="A8" s="103"/>
      <c r="B8" s="103"/>
      <c r="C8" s="103"/>
      <c r="D8" s="103"/>
      <c r="E8" s="103"/>
      <c r="F8" s="103"/>
      <c r="G8" s="29" t="s">
        <v>85</v>
      </c>
      <c r="H8" s="29" t="s">
        <v>72</v>
      </c>
      <c r="I8" s="29">
        <f>'MERCADO TE'!$U$5</f>
        <v>0</v>
      </c>
      <c r="J8" s="15"/>
      <c r="L8" s="26">
        <f>('TE BE'!$L$8+'TE BF'!$L$8+'TE CVA'!$L$8)*1</f>
        <v>0</v>
      </c>
      <c r="M8" s="26">
        <f>('TE BE'!$M$8+'TE BF'!$M$8+'TE CVA'!$M$8)*1</f>
        <v>32.654296888220514</v>
      </c>
      <c r="N8" s="26">
        <f>('TE BE'!$N$8+'TE BF'!$N$8+'TE CVA'!$N$8)*1</f>
        <v>0</v>
      </c>
      <c r="O8" s="26">
        <f>('TE BE'!$O$8+'TE BF'!$O$8+'TE CVA'!$O$8)*1</f>
        <v>0</v>
      </c>
      <c r="P8" s="26">
        <f>('TE BE'!$P$8+'TE BF'!$P$8+'TE CVA'!$P$8)*1</f>
        <v>-13.84593575300415</v>
      </c>
      <c r="Q8" s="26">
        <f>('TE BE'!$R$8+'TE BF'!$R$8+'TE CVA'!$R$8)*1</f>
        <v>165.51049825050308</v>
      </c>
      <c r="R8" s="26">
        <f>('TE BE'!$T$8+'TE BF'!$T$8+'TE CVA'!$T$8)*1</f>
        <v>0</v>
      </c>
      <c r="S8" s="26">
        <f>('TE BE'!$U$8+'TE BF'!$U$8+'TE CVA'!$U$8)*1</f>
        <v>0</v>
      </c>
      <c r="T8" s="26">
        <f>('TE BE'!$V$8+'TE BF'!$V$8+'TE CVA'!$V$8)*1</f>
        <v>0</v>
      </c>
      <c r="U8" s="26">
        <f>('TE BE'!$X$8+'TE BF'!$X$8+'TE CVA'!$X$8)*1</f>
        <v>0</v>
      </c>
      <c r="V8" s="26">
        <f>('TE BE'!$Z$8+'TE BF'!$Z$8+'TE CVA'!$Z$8)*1</f>
        <v>6.6886546774371274</v>
      </c>
      <c r="X8" s="26">
        <v>0</v>
      </c>
      <c r="Y8" s="26">
        <v>4.4069744349768101</v>
      </c>
      <c r="Z8" s="26">
        <v>0</v>
      </c>
      <c r="AA8" s="26">
        <v>0</v>
      </c>
      <c r="AB8" s="26">
        <v>0</v>
      </c>
      <c r="AC8" s="26">
        <v>237.941422663818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</row>
    <row r="9" spans="1:34" ht="11.25" customHeight="1" x14ac:dyDescent="0.3">
      <c r="A9" s="103"/>
      <c r="B9" s="103"/>
      <c r="C9" s="103"/>
      <c r="D9" s="103"/>
      <c r="E9" s="103"/>
      <c r="F9" s="103"/>
      <c r="G9" s="29" t="s">
        <v>74</v>
      </c>
      <c r="H9" s="29" t="s">
        <v>72</v>
      </c>
      <c r="I9" s="29">
        <f>'MERCADO TE'!$U$6</f>
        <v>0</v>
      </c>
      <c r="J9" s="15"/>
      <c r="L9" s="26">
        <f>('TE BE'!$L$9+'TE BF'!$L$9+'TE CVA'!$L$9)*1</f>
        <v>0</v>
      </c>
      <c r="M9" s="26">
        <f>('TE BE'!$M$9+'TE BF'!$M$9+'TE CVA'!$M$9)*1</f>
        <v>32.654296888220514</v>
      </c>
      <c r="N9" s="26">
        <f>('TE BE'!$N$9+'TE BF'!$N$9+'TE CVA'!$N$9)*1</f>
        <v>0</v>
      </c>
      <c r="O9" s="26">
        <f>('TE BE'!$O$9+'TE BF'!$O$9+'TE CVA'!$O$9)*1</f>
        <v>0</v>
      </c>
      <c r="P9" s="26">
        <f>('TE BE'!$P$9+'TE BF'!$P$9+'TE CVA'!$P$9)*1</f>
        <v>-13.84593575300415</v>
      </c>
      <c r="Q9" s="26">
        <f>('TE BE'!$R$9+'TE BF'!$R$9+'TE CVA'!$R$9)*1</f>
        <v>165.51049825050308</v>
      </c>
      <c r="R9" s="26">
        <f>('TE BE'!$T$9+'TE BF'!$T$9+'TE CVA'!$T$9)*1</f>
        <v>0</v>
      </c>
      <c r="S9" s="26">
        <f>('TE BE'!$U$9+'TE BF'!$U$9+'TE CVA'!$U$9)*1</f>
        <v>0</v>
      </c>
      <c r="T9" s="26">
        <f>('TE BE'!$V$9+'TE BF'!$V$9+'TE CVA'!$V$9)*1</f>
        <v>0</v>
      </c>
      <c r="U9" s="26">
        <f>('TE BE'!$X$9+'TE BF'!$X$9+'TE CVA'!$X$9)*1</f>
        <v>0</v>
      </c>
      <c r="V9" s="26">
        <f>('TE BE'!$Z$9+'TE BF'!$Z$9+'TE CVA'!$Z$9)*1</f>
        <v>6.6886546774371274</v>
      </c>
      <c r="X9" s="26">
        <v>0</v>
      </c>
      <c r="Y9" s="26">
        <v>4.4069744349768101</v>
      </c>
      <c r="Z9" s="26">
        <v>0</v>
      </c>
      <c r="AA9" s="26">
        <v>0</v>
      </c>
      <c r="AB9" s="26">
        <v>0</v>
      </c>
      <c r="AC9" s="26">
        <v>237.941422663818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</row>
    <row r="10" spans="1:34" ht="11.25" customHeight="1" x14ac:dyDescent="0.3">
      <c r="A10" s="103"/>
      <c r="B10" s="103" t="s">
        <v>86</v>
      </c>
      <c r="C10" s="103" t="s">
        <v>24</v>
      </c>
      <c r="D10" s="28" t="s">
        <v>24</v>
      </c>
      <c r="E10" s="28" t="s">
        <v>25</v>
      </c>
      <c r="F10" s="28" t="s">
        <v>25</v>
      </c>
      <c r="G10" s="29" t="s">
        <v>79</v>
      </c>
      <c r="H10" s="29" t="s">
        <v>72</v>
      </c>
      <c r="I10" s="29">
        <f>'MERCADO TE'!$U$7</f>
        <v>5913.8329999999996</v>
      </c>
      <c r="J10" s="15"/>
      <c r="L10" s="26">
        <f>('TE BE'!$L$10+'TE BF'!$L$10+'TE CVA'!$L$10)*1</f>
        <v>0</v>
      </c>
      <c r="M10" s="26">
        <f>('TE BE'!$M$10+'TE BF'!$M$10+'TE CVA'!$M$10)*1</f>
        <v>32.654296888220514</v>
      </c>
      <c r="N10" s="26">
        <f>('TE BE'!$N$10+'TE BF'!$N$10+'TE CVA'!$N$10)*1</f>
        <v>0</v>
      </c>
      <c r="O10" s="26">
        <f>('TE BE'!$O$10+'TE BF'!$O$10+'TE CVA'!$O$10)*1</f>
        <v>0</v>
      </c>
      <c r="P10" s="26">
        <f>('TE BE'!$P$10+'TE BF'!$P$10+'TE CVA'!$P$10)*1</f>
        <v>-13.84593575300415</v>
      </c>
      <c r="Q10" s="26">
        <f>('TE BE'!$R$10+'TE BF'!$R$10+'TE CVA'!$R$10)*1</f>
        <v>165.51049825050308</v>
      </c>
      <c r="R10" s="26">
        <f>('TE BE'!$T$10+'TE BF'!$T$10+'TE CVA'!$T$10)*1</f>
        <v>0</v>
      </c>
      <c r="S10" s="26">
        <f>('TE BE'!$U$10+'TE BF'!$U$10+'TE CVA'!$U$10)*1</f>
        <v>0</v>
      </c>
      <c r="T10" s="26">
        <f>('TE BE'!$V$10+'TE BF'!$V$10+'TE CVA'!$V$10)*1</f>
        <v>0</v>
      </c>
      <c r="U10" s="26">
        <f>('TE BE'!$X$10+'TE BF'!$X$10+'TE CVA'!$X$10)*1</f>
        <v>0</v>
      </c>
      <c r="V10" s="26">
        <f>('TE BE'!$Z$10+'TE BF'!$Z$10+'TE CVA'!$Z$10)*1</f>
        <v>6.6886546774371274</v>
      </c>
      <c r="X10" s="26">
        <v>0</v>
      </c>
      <c r="Y10" s="26">
        <v>4.4069744349768101</v>
      </c>
      <c r="Z10" s="26">
        <v>0</v>
      </c>
      <c r="AA10" s="26">
        <v>0</v>
      </c>
      <c r="AB10" s="26">
        <v>0</v>
      </c>
      <c r="AC10" s="26">
        <v>237.941422663818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 ht="11.25" customHeight="1" x14ac:dyDescent="0.3">
      <c r="A11" s="103"/>
      <c r="B11" s="103"/>
      <c r="C11" s="103"/>
      <c r="D11" s="28" t="s">
        <v>29</v>
      </c>
      <c r="E11" s="28" t="s">
        <v>25</v>
      </c>
      <c r="F11" s="28" t="s">
        <v>25</v>
      </c>
      <c r="G11" s="29" t="s">
        <v>79</v>
      </c>
      <c r="H11" s="29" t="s">
        <v>72</v>
      </c>
      <c r="I11" s="29">
        <f>'MERCADO TE'!$U$8</f>
        <v>78.629000000000005</v>
      </c>
      <c r="J11" s="15"/>
      <c r="L11" s="26">
        <f>('TE BE'!$L$11+'TE BF'!$L$11+'TE CVA'!$L$11)*(1 - 0.65)</f>
        <v>0</v>
      </c>
      <c r="M11" s="26">
        <f>('TE BE'!$M$11+'TE BF'!$M$11+'TE CVA'!$M$11)*(1 - 0.65)</f>
        <v>11.42900391087718</v>
      </c>
      <c r="N11" s="26">
        <f>('TE BE'!$N$11+'TE BF'!$N$11+'TE CVA'!$N$11)*(1 - 0.65)</f>
        <v>0</v>
      </c>
      <c r="O11" s="26">
        <f>('TE BE'!$O$11+'TE BF'!$O$11+'TE CVA'!$O$11)*(1 - 0.65)</f>
        <v>0</v>
      </c>
      <c r="P11" s="26">
        <f>('TE BE'!$P$11+'TE BF'!$P$11+'TE CVA'!$P$11)*(1 - 0.65)</f>
        <v>-4.8460775135514522</v>
      </c>
      <c r="Q11" s="26">
        <f>('TE BE'!$R$11+'TE BF'!$R$11+'TE CVA'!$R$11)*(1 - 0.65)</f>
        <v>57.928674387676075</v>
      </c>
      <c r="R11" s="26">
        <f>('TE BE'!$T$11+'TE BF'!$T$11+'TE CVA'!$T$11)*(1 - 0.65)</f>
        <v>0</v>
      </c>
      <c r="S11" s="26">
        <f>('TE BE'!$U$11+'TE BF'!$U$11+'TE CVA'!$U$11)*(1 - 0.65)</f>
        <v>0</v>
      </c>
      <c r="T11" s="26">
        <f>('TE BE'!$V$11+'TE BF'!$V$11+'TE CVA'!$V$11)*(1 - 0.65)</f>
        <v>0</v>
      </c>
      <c r="U11" s="26">
        <f>('TE BE'!$X$11+'TE BF'!$X$11+'TE CVA'!$X$11)*(1 - 0.65)</f>
        <v>0</v>
      </c>
      <c r="V11" s="26">
        <f>('TE BE'!$Z$11+'TE BF'!$Z$11+'TE CVA'!$Z$11)*(1 - 0.65)</f>
        <v>2.3410291371029945</v>
      </c>
      <c r="X11" s="26">
        <v>0</v>
      </c>
      <c r="Y11" s="26">
        <v>1.5424410522418801</v>
      </c>
      <c r="Z11" s="26">
        <v>0</v>
      </c>
      <c r="AA11" s="26">
        <v>0</v>
      </c>
      <c r="AB11" s="26">
        <v>0</v>
      </c>
      <c r="AC11" s="26">
        <v>83.279497932336497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</row>
    <row r="12" spans="1:34" ht="11.25" customHeight="1" x14ac:dyDescent="0.3">
      <c r="A12" s="103"/>
      <c r="B12" s="103"/>
      <c r="C12" s="103"/>
      <c r="D12" s="28" t="s">
        <v>30</v>
      </c>
      <c r="E12" s="28" t="s">
        <v>25</v>
      </c>
      <c r="F12" s="28" t="s">
        <v>25</v>
      </c>
      <c r="G12" s="29" t="s">
        <v>79</v>
      </c>
      <c r="H12" s="29" t="s">
        <v>72</v>
      </c>
      <c r="I12" s="29">
        <f>'MERCADO TE'!$U$9</f>
        <v>159.86900000000003</v>
      </c>
      <c r="J12" s="15"/>
      <c r="L12" s="26">
        <f>('TE BE'!$L$12+'TE BF'!$L$12+'TE CVA'!$L$12)*(1 - 0.4)</f>
        <v>0</v>
      </c>
      <c r="M12" s="26">
        <f>('TE BE'!$M$12+'TE BF'!$M$12+'TE CVA'!$M$12)*(1 - 0.4)</f>
        <v>19.592578132932307</v>
      </c>
      <c r="N12" s="26">
        <f>('TE BE'!$N$12+'TE BF'!$N$12+'TE CVA'!$N$12)*(1 - 0.4)</f>
        <v>0</v>
      </c>
      <c r="O12" s="26">
        <f>('TE BE'!$O$12+'TE BF'!$O$12+'TE CVA'!$O$12)*(1 - 0.4)</f>
        <v>0</v>
      </c>
      <c r="P12" s="26">
        <f>('TE BE'!$P$12+'TE BF'!$P$12+'TE CVA'!$P$12)*(1 - 0.4)</f>
        <v>-8.3075614518024903</v>
      </c>
      <c r="Q12" s="26">
        <f>('TE BE'!$R$12+'TE BF'!$R$12+'TE CVA'!$R$12)*(1 - 0.4)</f>
        <v>99.306298950301837</v>
      </c>
      <c r="R12" s="26">
        <f>('TE BE'!$T$12+'TE BF'!$T$12+'TE CVA'!$T$12)*(1 - 0.4)</f>
        <v>0</v>
      </c>
      <c r="S12" s="26">
        <f>('TE BE'!$U$12+'TE BF'!$U$12+'TE CVA'!$U$12)*(1 - 0.4)</f>
        <v>0</v>
      </c>
      <c r="T12" s="26">
        <f>('TE BE'!$V$12+'TE BF'!$V$12+'TE CVA'!$V$12)*(1 - 0.4)</f>
        <v>0</v>
      </c>
      <c r="U12" s="26">
        <f>('TE BE'!$X$12+'TE BF'!$X$12+'TE CVA'!$X$12)*(1 - 0.4)</f>
        <v>0</v>
      </c>
      <c r="V12" s="26">
        <f>('TE BE'!$Z$12+'TE BF'!$Z$12+'TE CVA'!$Z$12)*(1 - 0.4)</f>
        <v>4.0131928064622766</v>
      </c>
      <c r="X12" s="26">
        <v>0</v>
      </c>
      <c r="Y12" s="26">
        <v>2.64418466098609</v>
      </c>
      <c r="Z12" s="26">
        <v>0</v>
      </c>
      <c r="AA12" s="26">
        <v>0</v>
      </c>
      <c r="AB12" s="26">
        <v>0</v>
      </c>
      <c r="AC12" s="26">
        <v>142.76485359829101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 ht="11.25" customHeight="1" x14ac:dyDescent="0.3">
      <c r="A13" s="103"/>
      <c r="B13" s="103"/>
      <c r="C13" s="103"/>
      <c r="D13" s="28" t="s">
        <v>31</v>
      </c>
      <c r="E13" s="28" t="s">
        <v>25</v>
      </c>
      <c r="F13" s="28" t="s">
        <v>25</v>
      </c>
      <c r="G13" s="29" t="s">
        <v>79</v>
      </c>
      <c r="H13" s="29" t="s">
        <v>72</v>
      </c>
      <c r="I13" s="29">
        <f>'MERCADO TE'!$U$10</f>
        <v>149.93899999999999</v>
      </c>
      <c r="J13" s="15"/>
      <c r="L13" s="26">
        <f>('TE BE'!$L$13+'TE BF'!$L$13+'TE CVA'!$L$13)*(1 - 0.1)</f>
        <v>0</v>
      </c>
      <c r="M13" s="26">
        <f>('TE BE'!$M$13+'TE BF'!$M$13+'TE CVA'!$M$13)*(1 - 0.1)</f>
        <v>29.388867199398465</v>
      </c>
      <c r="N13" s="26">
        <f>('TE BE'!$N$13+'TE BF'!$N$13+'TE CVA'!$N$13)*(1 - 0.1)</f>
        <v>0</v>
      </c>
      <c r="O13" s="26">
        <f>('TE BE'!$O$13+'TE BF'!$O$13+'TE CVA'!$O$13)*(1 - 0.1)</f>
        <v>0</v>
      </c>
      <c r="P13" s="26">
        <f>('TE BE'!$P$13+'TE BF'!$P$13+'TE CVA'!$P$13)*(1 - 0.1)</f>
        <v>-12.461342177703736</v>
      </c>
      <c r="Q13" s="26">
        <f>('TE BE'!$R$13+'TE BF'!$R$13+'TE CVA'!$R$13)*(1 - 0.1)</f>
        <v>148.95944842545276</v>
      </c>
      <c r="R13" s="26">
        <f>('TE BE'!$T$13+'TE BF'!$T$13+'TE CVA'!$T$13)*(1 - 0.1)</f>
        <v>0</v>
      </c>
      <c r="S13" s="26">
        <f>('TE BE'!$U$13+'TE BF'!$U$13+'TE CVA'!$U$13)*(1 - 0.1)</f>
        <v>0</v>
      </c>
      <c r="T13" s="26">
        <f>('TE BE'!$V$13+'TE BF'!$V$13+'TE CVA'!$V$13)*(1 - 0.1)</f>
        <v>0</v>
      </c>
      <c r="U13" s="26">
        <f>('TE BE'!$X$13+'TE BF'!$X$13+'TE CVA'!$X$13)*(1 - 0.1)</f>
        <v>0</v>
      </c>
      <c r="V13" s="26">
        <f>('TE BE'!$Z$13+'TE BF'!$Z$13+'TE CVA'!$Z$13)*(1 - 0.1)</f>
        <v>6.0197892096934149</v>
      </c>
      <c r="X13" s="26">
        <v>0</v>
      </c>
      <c r="Y13" s="26">
        <v>3.96627699147913</v>
      </c>
      <c r="Z13" s="26">
        <v>0</v>
      </c>
      <c r="AA13" s="26">
        <v>0</v>
      </c>
      <c r="AB13" s="26">
        <v>0</v>
      </c>
      <c r="AC13" s="26">
        <v>214.14728039743699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</row>
    <row r="14" spans="1:34" ht="11.25" customHeight="1" x14ac:dyDescent="0.3">
      <c r="A14" s="103"/>
      <c r="B14" s="103"/>
      <c r="C14" s="103"/>
      <c r="D14" s="28" t="s">
        <v>32</v>
      </c>
      <c r="E14" s="28" t="s">
        <v>25</v>
      </c>
      <c r="F14" s="28" t="s">
        <v>25</v>
      </c>
      <c r="G14" s="29" t="s">
        <v>79</v>
      </c>
      <c r="H14" s="29" t="s">
        <v>72</v>
      </c>
      <c r="I14" s="29">
        <f>'MERCADO TE'!$U$11</f>
        <v>50.329000000000001</v>
      </c>
      <c r="J14" s="15"/>
      <c r="L14" s="26">
        <f>('TE BE'!$L$14+'TE BF'!$L$14+'TE CVA'!$L$14)*1</f>
        <v>0</v>
      </c>
      <c r="M14" s="26">
        <f>('TE BE'!$M$14+'TE BF'!$M$14+'TE CVA'!$M$14)*1</f>
        <v>32.654296888220514</v>
      </c>
      <c r="N14" s="26">
        <f>('TE BE'!$N$14+'TE BF'!$N$14+'TE CVA'!$N$14)*1</f>
        <v>0</v>
      </c>
      <c r="O14" s="26">
        <f>('TE BE'!$O$14+'TE BF'!$O$14+'TE CVA'!$O$14)*1</f>
        <v>0</v>
      </c>
      <c r="P14" s="26">
        <f>('TE BE'!$P$14+'TE BF'!$P$14+'TE CVA'!$P$14)*1</f>
        <v>-13.84593575300415</v>
      </c>
      <c r="Q14" s="26">
        <f>('TE BE'!$R$14+'TE BF'!$R$14+'TE CVA'!$R$14)*1</f>
        <v>165.51049825050308</v>
      </c>
      <c r="R14" s="26">
        <f>('TE BE'!$T$14+'TE BF'!$T$14+'TE CVA'!$T$14)*1</f>
        <v>0</v>
      </c>
      <c r="S14" s="26">
        <f>('TE BE'!$U$14+'TE BF'!$U$14+'TE CVA'!$U$14)*1</f>
        <v>0</v>
      </c>
      <c r="T14" s="26">
        <f>('TE BE'!$V$14+'TE BF'!$V$14+'TE CVA'!$V$14)*1</f>
        <v>0</v>
      </c>
      <c r="U14" s="26">
        <f>('TE BE'!$X$14+'TE BF'!$X$14+'TE CVA'!$X$14)*1</f>
        <v>0</v>
      </c>
      <c r="V14" s="26">
        <f>('TE BE'!$Z$14+'TE BF'!$Z$14+'TE CVA'!$Z$14)*1</f>
        <v>6.6886546774371274</v>
      </c>
      <c r="X14" s="26">
        <v>0</v>
      </c>
      <c r="Y14" s="26">
        <v>4.4069744349768101</v>
      </c>
      <c r="Z14" s="26">
        <v>0</v>
      </c>
      <c r="AA14" s="26">
        <v>0</v>
      </c>
      <c r="AB14" s="26">
        <v>0</v>
      </c>
      <c r="AC14" s="26">
        <v>237.941422663818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 ht="11.25" customHeight="1" x14ac:dyDescent="0.3">
      <c r="A15" s="103"/>
      <c r="B15" s="103" t="s">
        <v>87</v>
      </c>
      <c r="C15" s="103" t="s">
        <v>24</v>
      </c>
      <c r="D15" s="28" t="s">
        <v>24</v>
      </c>
      <c r="E15" s="28" t="s">
        <v>25</v>
      </c>
      <c r="F15" s="28" t="s">
        <v>25</v>
      </c>
      <c r="G15" s="29" t="s">
        <v>79</v>
      </c>
      <c r="H15" s="29" t="s">
        <v>72</v>
      </c>
      <c r="I15" s="29">
        <f>'MERCADO TE'!$U$12</f>
        <v>0</v>
      </c>
      <c r="J15" s="15"/>
      <c r="L15" s="26">
        <f>('TE BE'!$L$15+'TE BF'!$L$15+'TE CVA'!$L$15)*1</f>
        <v>0</v>
      </c>
      <c r="M15" s="26">
        <f>('TE BE'!$M$15+'TE BF'!$M$15+'TE CVA'!$M$15)*1</f>
        <v>32.654296888220514</v>
      </c>
      <c r="N15" s="26">
        <f>('TE BE'!$N$15+'TE BF'!$N$15+'TE CVA'!$N$15)*1</f>
        <v>0</v>
      </c>
      <c r="O15" s="26">
        <f>('TE BE'!$O$15+'TE BF'!$O$15+'TE CVA'!$O$15)*1</f>
        <v>0</v>
      </c>
      <c r="P15" s="26">
        <f>('TE BE'!$P$15+'TE BF'!$P$15+'TE CVA'!$P$15)*1</f>
        <v>-13.84593575300415</v>
      </c>
      <c r="Q15" s="26">
        <f>('TE BE'!$R$15+'TE BF'!$R$15+'TE CVA'!$R$15)*1</f>
        <v>165.51049825050308</v>
      </c>
      <c r="R15" s="26">
        <f>('TE BE'!$T$15+'TE BF'!$T$15+'TE CVA'!$T$15)*1</f>
        <v>0</v>
      </c>
      <c r="S15" s="26">
        <f>('TE BE'!$U$15+'TE BF'!$U$15+'TE CVA'!$U$15)*1</f>
        <v>0</v>
      </c>
      <c r="T15" s="26">
        <f>('TE BE'!$V$15+'TE BF'!$V$15+'TE CVA'!$V$15)*1</f>
        <v>0</v>
      </c>
      <c r="U15" s="26">
        <f>('TE BE'!$X$15+'TE BF'!$X$15+'TE CVA'!$X$15)*1</f>
        <v>0</v>
      </c>
      <c r="V15" s="26">
        <f>('TE BE'!$Z$15+'TE BF'!$Z$15+'TE CVA'!$Z$15)*1</f>
        <v>6.6886546774371274</v>
      </c>
      <c r="X15" s="26">
        <v>0</v>
      </c>
      <c r="Y15" s="26">
        <v>4.4069744349768101</v>
      </c>
      <c r="Z15" s="26">
        <v>0</v>
      </c>
      <c r="AA15" s="26">
        <v>0</v>
      </c>
      <c r="AB15" s="26">
        <v>0</v>
      </c>
      <c r="AC15" s="26">
        <v>237.941422663818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 ht="11.25" customHeight="1" x14ac:dyDescent="0.3">
      <c r="A16" s="103"/>
      <c r="B16" s="103"/>
      <c r="C16" s="103"/>
      <c r="D16" s="28" t="s">
        <v>29</v>
      </c>
      <c r="E16" s="28" t="s">
        <v>25</v>
      </c>
      <c r="F16" s="28" t="s">
        <v>25</v>
      </c>
      <c r="G16" s="29" t="s">
        <v>79</v>
      </c>
      <c r="H16" s="29" t="s">
        <v>72</v>
      </c>
      <c r="I16" s="29">
        <f>'MERCADO TE'!$U$13</f>
        <v>0</v>
      </c>
      <c r="J16" s="15"/>
      <c r="L16" s="26">
        <f>('TE BE'!$L$16+'TE BF'!$L$16+'TE CVA'!$L$16)*(1 - 0.65)</f>
        <v>0</v>
      </c>
      <c r="M16" s="26">
        <f>('TE BE'!$M$16+'TE BF'!$M$16+'TE CVA'!$M$16)*(1 - 0.65)</f>
        <v>11.42900391087718</v>
      </c>
      <c r="N16" s="26">
        <f>('TE BE'!$N$16+'TE BF'!$N$16+'TE CVA'!$N$16)*(1 - 0.65)</f>
        <v>0</v>
      </c>
      <c r="O16" s="26">
        <f>('TE BE'!$O$16+'TE BF'!$O$16+'TE CVA'!$O$16)*(1 - 0.65)</f>
        <v>0</v>
      </c>
      <c r="P16" s="26">
        <f>('TE BE'!$P$16+'TE BF'!$P$16+'TE CVA'!$P$16)*(1 - 0.65)</f>
        <v>-4.8460775135514522</v>
      </c>
      <c r="Q16" s="26">
        <f>('TE BE'!$R$16+'TE BF'!$R$16+'TE CVA'!$R$16)*(1 - 0.65)</f>
        <v>57.928674387676075</v>
      </c>
      <c r="R16" s="26">
        <f>('TE BE'!$T$16+'TE BF'!$T$16+'TE CVA'!$T$16)*(1 - 0.65)</f>
        <v>0</v>
      </c>
      <c r="S16" s="26">
        <f>('TE BE'!$U$16+'TE BF'!$U$16+'TE CVA'!$U$16)*(1 - 0.65)</f>
        <v>0</v>
      </c>
      <c r="T16" s="26">
        <f>('TE BE'!$V$16+'TE BF'!$V$16+'TE CVA'!$V$16)*(1 - 0.65)</f>
        <v>0</v>
      </c>
      <c r="U16" s="26">
        <f>('TE BE'!$X$16+'TE BF'!$X$16+'TE CVA'!$X$16)*(1 - 0.65)</f>
        <v>0</v>
      </c>
      <c r="V16" s="26">
        <f>('TE BE'!$Z$16+'TE BF'!$Z$16+'TE CVA'!$Z$16)*(1 - 0.65)</f>
        <v>2.3410291371029945</v>
      </c>
      <c r="X16" s="26">
        <v>0</v>
      </c>
      <c r="Y16" s="26">
        <v>1.5424410522418801</v>
      </c>
      <c r="Z16" s="26">
        <v>0</v>
      </c>
      <c r="AA16" s="26">
        <v>0</v>
      </c>
      <c r="AB16" s="26">
        <v>0</v>
      </c>
      <c r="AC16" s="26">
        <v>83.279497932336497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ht="11.25" customHeight="1" x14ac:dyDescent="0.3">
      <c r="A17" s="103"/>
      <c r="B17" s="103"/>
      <c r="C17" s="103"/>
      <c r="D17" s="28" t="s">
        <v>30</v>
      </c>
      <c r="E17" s="28" t="s">
        <v>25</v>
      </c>
      <c r="F17" s="28" t="s">
        <v>25</v>
      </c>
      <c r="G17" s="29" t="s">
        <v>79</v>
      </c>
      <c r="H17" s="29" t="s">
        <v>72</v>
      </c>
      <c r="I17" s="29">
        <f>'MERCADO TE'!$U$14</f>
        <v>0</v>
      </c>
      <c r="J17" s="15"/>
      <c r="L17" s="26">
        <f>('TE BE'!$L$17+'TE BF'!$L$17+'TE CVA'!$L$17)*(1 - 0.4)</f>
        <v>0</v>
      </c>
      <c r="M17" s="26">
        <f>('TE BE'!$M$17+'TE BF'!$M$17+'TE CVA'!$M$17)*(1 - 0.4)</f>
        <v>19.592578132932307</v>
      </c>
      <c r="N17" s="26">
        <f>('TE BE'!$N$17+'TE BF'!$N$17+'TE CVA'!$N$17)*(1 - 0.4)</f>
        <v>0</v>
      </c>
      <c r="O17" s="26">
        <f>('TE BE'!$O$17+'TE BF'!$O$17+'TE CVA'!$O$17)*(1 - 0.4)</f>
        <v>0</v>
      </c>
      <c r="P17" s="26">
        <f>('TE BE'!$P$17+'TE BF'!$P$17+'TE CVA'!$P$17)*(1 - 0.4)</f>
        <v>-8.3075614518024903</v>
      </c>
      <c r="Q17" s="26">
        <f>('TE BE'!$R$17+'TE BF'!$R$17+'TE CVA'!$R$17)*(1 - 0.4)</f>
        <v>99.306298950301837</v>
      </c>
      <c r="R17" s="26">
        <f>('TE BE'!$T$17+'TE BF'!$T$17+'TE CVA'!$T$17)*(1 - 0.4)</f>
        <v>0</v>
      </c>
      <c r="S17" s="26">
        <f>('TE BE'!$U$17+'TE BF'!$U$17+'TE CVA'!$U$17)*(1 - 0.4)</f>
        <v>0</v>
      </c>
      <c r="T17" s="26">
        <f>('TE BE'!$V$17+'TE BF'!$V$17+'TE CVA'!$V$17)*(1 - 0.4)</f>
        <v>0</v>
      </c>
      <c r="U17" s="26">
        <f>('TE BE'!$X$17+'TE BF'!$X$17+'TE CVA'!$X$17)*(1 - 0.4)</f>
        <v>0</v>
      </c>
      <c r="V17" s="26">
        <f>('TE BE'!$Z$17+'TE BF'!$Z$17+'TE CVA'!$Z$17)*(1 - 0.4)</f>
        <v>4.0131928064622766</v>
      </c>
      <c r="X17" s="26">
        <v>0</v>
      </c>
      <c r="Y17" s="26">
        <v>2.64418466098609</v>
      </c>
      <c r="Z17" s="26">
        <v>0</v>
      </c>
      <c r="AA17" s="26">
        <v>0</v>
      </c>
      <c r="AB17" s="26">
        <v>0</v>
      </c>
      <c r="AC17" s="26">
        <v>142.76485359829101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</row>
    <row r="18" spans="1:34" ht="11.25" customHeight="1" x14ac:dyDescent="0.3">
      <c r="A18" s="103"/>
      <c r="B18" s="103"/>
      <c r="C18" s="103"/>
      <c r="D18" s="28" t="s">
        <v>31</v>
      </c>
      <c r="E18" s="28" t="s">
        <v>25</v>
      </c>
      <c r="F18" s="28" t="s">
        <v>25</v>
      </c>
      <c r="G18" s="29" t="s">
        <v>79</v>
      </c>
      <c r="H18" s="29" t="s">
        <v>72</v>
      </c>
      <c r="I18" s="29">
        <f>'MERCADO TE'!$U$15</f>
        <v>0</v>
      </c>
      <c r="J18" s="15"/>
      <c r="L18" s="26">
        <f>('TE BE'!$L$18+'TE BF'!$L$18+'TE CVA'!$L$18)*(1 - 0.1)</f>
        <v>0</v>
      </c>
      <c r="M18" s="26">
        <f>('TE BE'!$M$18+'TE BF'!$M$18+'TE CVA'!$M$18)*(1 - 0.1)</f>
        <v>29.388867199398465</v>
      </c>
      <c r="N18" s="26">
        <f>('TE BE'!$N$18+'TE BF'!$N$18+'TE CVA'!$N$18)*(1 - 0.1)</f>
        <v>0</v>
      </c>
      <c r="O18" s="26">
        <f>('TE BE'!$O$18+'TE BF'!$O$18+'TE CVA'!$O$18)*(1 - 0.1)</f>
        <v>0</v>
      </c>
      <c r="P18" s="26">
        <f>('TE BE'!$P$18+'TE BF'!$P$18+'TE CVA'!$P$18)*(1 - 0.1)</f>
        <v>-12.461342177703736</v>
      </c>
      <c r="Q18" s="26">
        <f>('TE BE'!$R$18+'TE BF'!$R$18+'TE CVA'!$R$18)*(1 - 0.1)</f>
        <v>148.95944842545276</v>
      </c>
      <c r="R18" s="26">
        <f>('TE BE'!$T$18+'TE BF'!$T$18+'TE CVA'!$T$18)*(1 - 0.1)</f>
        <v>0</v>
      </c>
      <c r="S18" s="26">
        <f>('TE BE'!$U$18+'TE BF'!$U$18+'TE CVA'!$U$18)*(1 - 0.1)</f>
        <v>0</v>
      </c>
      <c r="T18" s="26">
        <f>('TE BE'!$V$18+'TE BF'!$V$18+'TE CVA'!$V$18)*(1 - 0.1)</f>
        <v>0</v>
      </c>
      <c r="U18" s="26">
        <f>('TE BE'!$X$18+'TE BF'!$X$18+'TE CVA'!$X$18)*(1 - 0.1)</f>
        <v>0</v>
      </c>
      <c r="V18" s="26">
        <f>('TE BE'!$Z$18+'TE BF'!$Z$18+'TE CVA'!$Z$18)*(1 - 0.1)</f>
        <v>6.0197892096934149</v>
      </c>
      <c r="X18" s="26">
        <v>0</v>
      </c>
      <c r="Y18" s="26">
        <v>3.96627699147913</v>
      </c>
      <c r="Z18" s="26">
        <v>0</v>
      </c>
      <c r="AA18" s="26">
        <v>0</v>
      </c>
      <c r="AB18" s="26">
        <v>0</v>
      </c>
      <c r="AC18" s="26">
        <v>214.14728039743699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</row>
    <row r="19" spans="1:34" ht="11.25" customHeight="1" x14ac:dyDescent="0.3">
      <c r="A19" s="103"/>
      <c r="B19" s="103"/>
      <c r="C19" s="103"/>
      <c r="D19" s="28" t="s">
        <v>32</v>
      </c>
      <c r="E19" s="28" t="s">
        <v>25</v>
      </c>
      <c r="F19" s="28" t="s">
        <v>25</v>
      </c>
      <c r="G19" s="29" t="s">
        <v>79</v>
      </c>
      <c r="H19" s="29" t="s">
        <v>72</v>
      </c>
      <c r="I19" s="29">
        <f>'MERCADO TE'!$U$16</f>
        <v>0</v>
      </c>
      <c r="J19" s="15"/>
      <c r="L19" s="26">
        <f>('TE BE'!$L$19+'TE BF'!$L$19+'TE CVA'!$L$19)*1</f>
        <v>0</v>
      </c>
      <c r="M19" s="26">
        <f>('TE BE'!$M$19+'TE BF'!$M$19+'TE CVA'!$M$19)*1</f>
        <v>32.654296888220514</v>
      </c>
      <c r="N19" s="26">
        <f>('TE BE'!$N$19+'TE BF'!$N$19+'TE CVA'!$N$19)*1</f>
        <v>0</v>
      </c>
      <c r="O19" s="26">
        <f>('TE BE'!$O$19+'TE BF'!$O$19+'TE CVA'!$O$19)*1</f>
        <v>0</v>
      </c>
      <c r="P19" s="26">
        <f>('TE BE'!$P$19+'TE BF'!$P$19+'TE CVA'!$P$19)*1</f>
        <v>-13.84593575300415</v>
      </c>
      <c r="Q19" s="26">
        <f>('TE BE'!$R$19+'TE BF'!$R$19+'TE CVA'!$R$19)*1</f>
        <v>165.51049825050308</v>
      </c>
      <c r="R19" s="26">
        <f>('TE BE'!$T$19+'TE BF'!$T$19+'TE CVA'!$T$19)*1</f>
        <v>0</v>
      </c>
      <c r="S19" s="26">
        <f>('TE BE'!$U$19+'TE BF'!$U$19+'TE CVA'!$U$19)*1</f>
        <v>0</v>
      </c>
      <c r="T19" s="26">
        <f>('TE BE'!$V$19+'TE BF'!$V$19+'TE CVA'!$V$19)*1</f>
        <v>0</v>
      </c>
      <c r="U19" s="26">
        <f>('TE BE'!$X$19+'TE BF'!$X$19+'TE CVA'!$X$19)*1</f>
        <v>0</v>
      </c>
      <c r="V19" s="26">
        <f>('TE BE'!$Z$19+'TE BF'!$Z$19+'TE CVA'!$Z$19)*1</f>
        <v>6.6886546774371274</v>
      </c>
      <c r="X19" s="26">
        <v>0</v>
      </c>
      <c r="Y19" s="26">
        <v>4.4069744349768101</v>
      </c>
      <c r="Z19" s="26">
        <v>0</v>
      </c>
      <c r="AA19" s="26">
        <v>0</v>
      </c>
      <c r="AB19" s="26">
        <v>0</v>
      </c>
      <c r="AC19" s="26">
        <v>237.941422663818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ht="11.25" customHeight="1" x14ac:dyDescent="0.3">
      <c r="A20" s="103" t="s">
        <v>42</v>
      </c>
      <c r="B20" s="103" t="s">
        <v>71</v>
      </c>
      <c r="C20" s="103" t="s">
        <v>43</v>
      </c>
      <c r="D20" s="103" t="s">
        <v>25</v>
      </c>
      <c r="E20" s="103" t="s">
        <v>25</v>
      </c>
      <c r="F20" s="103" t="s">
        <v>25</v>
      </c>
      <c r="G20" s="29" t="s">
        <v>73</v>
      </c>
      <c r="H20" s="29" t="s">
        <v>72</v>
      </c>
      <c r="I20" s="29">
        <f>'MERCADO TE'!$U$17</f>
        <v>0</v>
      </c>
      <c r="J20" s="15"/>
      <c r="L20" s="26">
        <f>('TE BE'!$L$20+'TE BF'!$L$20+'TE CVA'!$L$20)*(1 - CUSTOS!$M$38)</f>
        <v>0</v>
      </c>
      <c r="M20" s="26">
        <f>('TE BE'!$M$20+'TE BF'!$M$20+'TE CVA'!$M$20)*(1 - CUSTOS!$M$38)</f>
        <v>30.695039074927283</v>
      </c>
      <c r="N20" s="26">
        <f>('TE BE'!$N$20+'TE BF'!$N$20+'TE CVA'!$N$20)*(1 - CUSTOS!$M$38)</f>
        <v>0</v>
      </c>
      <c r="O20" s="26">
        <f>('TE BE'!$O$20+'TE BF'!$O$20+'TE CVA'!$O$20)*(1 - CUSTOS!$M$38)</f>
        <v>0</v>
      </c>
      <c r="P20" s="26">
        <f>('TE BE'!$P$20+'TE BF'!$P$20+'TE CVA'!$P$20)*(1 - CUSTOS!$M$38)</f>
        <v>-13.015179607823901</v>
      </c>
      <c r="Q20" s="26">
        <f>('TE BE'!$R$20+'TE BF'!$R$20+'TE CVA'!$R$20)*(1 - CUSTOS!$M$38)</f>
        <v>155.57986835547288</v>
      </c>
      <c r="R20" s="26">
        <f>('TE BE'!$T$20+'TE BF'!$T$20+'TE CVA'!$T$20)*(1 - CUSTOS!$M$38)</f>
        <v>0</v>
      </c>
      <c r="S20" s="26">
        <f>('TE BE'!$U$20+'TE BF'!$U$20+'TE CVA'!$U$20)*(1 - CUSTOS!$M$38)</f>
        <v>0</v>
      </c>
      <c r="T20" s="26">
        <f>('TE BE'!$V$20+'TE BF'!$V$20+'TE CVA'!$V$20)*(1 - CUSTOS!$M$38)</f>
        <v>0</v>
      </c>
      <c r="U20" s="26">
        <f>('TE BE'!$X$20+'TE BF'!$X$20+'TE CVA'!$X$20)*(1 - CUSTOS!$M$38)</f>
        <v>0</v>
      </c>
      <c r="V20" s="26">
        <f>('TE BE'!$Z$20+'TE BF'!$Z$20+'TE CVA'!$Z$20)*(1 - CUSTOS!$M$38)</f>
        <v>6.2873353967908994</v>
      </c>
      <c r="X20" s="26">
        <v>0</v>
      </c>
      <c r="Y20" s="26">
        <v>3.8781375027795901</v>
      </c>
      <c r="Z20" s="26">
        <v>0</v>
      </c>
      <c r="AA20" s="26">
        <v>0</v>
      </c>
      <c r="AB20" s="26">
        <v>0</v>
      </c>
      <c r="AC20" s="26">
        <v>209.38845194416001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  <row r="21" spans="1:34" ht="11.25" customHeight="1" x14ac:dyDescent="0.3">
      <c r="A21" s="103"/>
      <c r="B21" s="103"/>
      <c r="C21" s="103"/>
      <c r="D21" s="103"/>
      <c r="E21" s="103"/>
      <c r="F21" s="103"/>
      <c r="G21" s="29" t="s">
        <v>85</v>
      </c>
      <c r="H21" s="29" t="s">
        <v>72</v>
      </c>
      <c r="I21" s="29">
        <f>'MERCADO TE'!$U$18</f>
        <v>0</v>
      </c>
      <c r="J21" s="15"/>
      <c r="L21" s="26">
        <f>('TE BE'!$L$21+'TE BF'!$L$21+'TE CVA'!$L$21)*(1 - CUSTOS!$M$38)</f>
        <v>0</v>
      </c>
      <c r="M21" s="26">
        <f>('TE BE'!$M$21+'TE BF'!$M$21+'TE CVA'!$M$21)*(1 - CUSTOS!$M$38)</f>
        <v>30.695039074927283</v>
      </c>
      <c r="N21" s="26">
        <f>('TE BE'!$N$21+'TE BF'!$N$21+'TE CVA'!$N$21)*(1 - CUSTOS!$M$38)</f>
        <v>0</v>
      </c>
      <c r="O21" s="26">
        <f>('TE BE'!$O$21+'TE BF'!$O$21+'TE CVA'!$O$21)*(1 - CUSTOS!$M$38)</f>
        <v>0</v>
      </c>
      <c r="P21" s="26">
        <f>('TE BE'!$P$21+'TE BF'!$P$21+'TE CVA'!$P$21)*(1 - CUSTOS!$M$38)</f>
        <v>-13.015179607823901</v>
      </c>
      <c r="Q21" s="26">
        <f>('TE BE'!$R$21+'TE BF'!$R$21+'TE CVA'!$R$21)*(1 - CUSTOS!$M$38)</f>
        <v>155.57986835547288</v>
      </c>
      <c r="R21" s="26">
        <f>('TE BE'!$T$21+'TE BF'!$T$21+'TE CVA'!$T$21)*(1 - CUSTOS!$M$38)</f>
        <v>0</v>
      </c>
      <c r="S21" s="26">
        <f>('TE BE'!$U$21+'TE BF'!$U$21+'TE CVA'!$U$21)*(1 - CUSTOS!$M$38)</f>
        <v>0</v>
      </c>
      <c r="T21" s="26">
        <f>('TE BE'!$V$21+'TE BF'!$V$21+'TE CVA'!$V$21)*(1 - CUSTOS!$M$38)</f>
        <v>0</v>
      </c>
      <c r="U21" s="26">
        <f>('TE BE'!$X$21+'TE BF'!$X$21+'TE CVA'!$X$21)*(1 - CUSTOS!$M$38)</f>
        <v>0</v>
      </c>
      <c r="V21" s="26">
        <f>('TE BE'!$Z$21+'TE BF'!$Z$21+'TE CVA'!$Z$21)*(1 - CUSTOS!$M$38)</f>
        <v>6.2873353967908994</v>
      </c>
      <c r="X21" s="26">
        <v>0</v>
      </c>
      <c r="Y21" s="26">
        <v>3.8781375027795901</v>
      </c>
      <c r="Z21" s="26">
        <v>0</v>
      </c>
      <c r="AA21" s="26">
        <v>0</v>
      </c>
      <c r="AB21" s="26">
        <v>0</v>
      </c>
      <c r="AC21" s="26">
        <v>209.38845194416001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</row>
    <row r="22" spans="1:34" ht="11.25" customHeight="1" x14ac:dyDescent="0.3">
      <c r="A22" s="103"/>
      <c r="B22" s="103"/>
      <c r="C22" s="103"/>
      <c r="D22" s="103"/>
      <c r="E22" s="103"/>
      <c r="F22" s="103"/>
      <c r="G22" s="29" t="s">
        <v>74</v>
      </c>
      <c r="H22" s="29" t="s">
        <v>72</v>
      </c>
      <c r="I22" s="29">
        <f>'MERCADO TE'!$U$19</f>
        <v>0</v>
      </c>
      <c r="J22" s="15"/>
      <c r="L22" s="26">
        <f>('TE BE'!$L$22+'TE BF'!$L$22+'TE CVA'!$L$22)*(1 - CUSTOS!$M$38)</f>
        <v>0</v>
      </c>
      <c r="M22" s="26">
        <f>('TE BE'!$M$22+'TE BF'!$M$22+'TE CVA'!$M$22)*(1 - CUSTOS!$M$38)</f>
        <v>30.695039074927283</v>
      </c>
      <c r="N22" s="26">
        <f>('TE BE'!$N$22+'TE BF'!$N$22+'TE CVA'!$N$22)*(1 - CUSTOS!$M$38)</f>
        <v>0</v>
      </c>
      <c r="O22" s="26">
        <f>('TE BE'!$O$22+'TE BF'!$O$22+'TE CVA'!$O$22)*(1 - CUSTOS!$M$38)</f>
        <v>0</v>
      </c>
      <c r="P22" s="26">
        <f>('TE BE'!$P$22+'TE BF'!$P$22+'TE CVA'!$P$22)*(1 - CUSTOS!$M$38)</f>
        <v>-13.015179607823901</v>
      </c>
      <c r="Q22" s="26">
        <f>('TE BE'!$R$22+'TE BF'!$R$22+'TE CVA'!$R$22)*(1 - CUSTOS!$M$38)</f>
        <v>155.57986835547288</v>
      </c>
      <c r="R22" s="26">
        <f>('TE BE'!$T$22+'TE BF'!$T$22+'TE CVA'!$T$22)*(1 - CUSTOS!$M$38)</f>
        <v>0</v>
      </c>
      <c r="S22" s="26">
        <f>('TE BE'!$U$22+'TE BF'!$U$22+'TE CVA'!$U$22)*(1 - CUSTOS!$M$38)</f>
        <v>0</v>
      </c>
      <c r="T22" s="26">
        <f>('TE BE'!$V$22+'TE BF'!$V$22+'TE CVA'!$V$22)*(1 - CUSTOS!$M$38)</f>
        <v>0</v>
      </c>
      <c r="U22" s="26">
        <f>('TE BE'!$X$22+'TE BF'!$X$22+'TE CVA'!$X$22)*(1 - CUSTOS!$M$38)</f>
        <v>0</v>
      </c>
      <c r="V22" s="26">
        <f>('TE BE'!$Z$22+'TE BF'!$Z$22+'TE CVA'!$Z$22)*(1 - CUSTOS!$M$38)</f>
        <v>6.2873353967908994</v>
      </c>
      <c r="X22" s="26">
        <v>0</v>
      </c>
      <c r="Y22" s="26">
        <v>3.8781375027795901</v>
      </c>
      <c r="Z22" s="26">
        <v>0</v>
      </c>
      <c r="AA22" s="26">
        <v>0</v>
      </c>
      <c r="AB22" s="26">
        <v>0</v>
      </c>
      <c r="AC22" s="26">
        <v>209.38845194416001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</row>
    <row r="23" spans="1:34" ht="11.25" customHeight="1" x14ac:dyDescent="0.3">
      <c r="A23" s="103"/>
      <c r="B23" s="28" t="s">
        <v>86</v>
      </c>
      <c r="C23" s="28" t="s">
        <v>43</v>
      </c>
      <c r="D23" s="28" t="s">
        <v>25</v>
      </c>
      <c r="E23" s="28" t="s">
        <v>25</v>
      </c>
      <c r="F23" s="28" t="s">
        <v>25</v>
      </c>
      <c r="G23" s="29" t="s">
        <v>79</v>
      </c>
      <c r="H23" s="29" t="s">
        <v>72</v>
      </c>
      <c r="I23" s="29">
        <f>'MERCADO TE'!$U$20</f>
        <v>5511.7490000000016</v>
      </c>
      <c r="J23" s="15"/>
      <c r="L23" s="26">
        <f>('TE BE'!$L$23+'TE BF'!$L$23+'TE CVA'!$L$23)*(1 - CUSTOS!$M$38)</f>
        <v>0</v>
      </c>
      <c r="M23" s="26">
        <f>('TE BE'!$M$23+'TE BF'!$M$23+'TE CVA'!$M$23)*(1 - CUSTOS!$M$38)</f>
        <v>30.695039074927283</v>
      </c>
      <c r="N23" s="26">
        <f>('TE BE'!$N$23+'TE BF'!$N$23+'TE CVA'!$N$23)*(1 - CUSTOS!$M$38)</f>
        <v>0</v>
      </c>
      <c r="O23" s="26">
        <f>('TE BE'!$O$23+'TE BF'!$O$23+'TE CVA'!$O$23)*(1 - CUSTOS!$M$38)</f>
        <v>0</v>
      </c>
      <c r="P23" s="26">
        <f>('TE BE'!$P$23+'TE BF'!$P$23+'TE CVA'!$P$23)*(1 - CUSTOS!$M$38)</f>
        <v>-13.015179607823901</v>
      </c>
      <c r="Q23" s="26">
        <f>('TE BE'!$R$23+'TE BF'!$R$23+'TE CVA'!$R$23)*(1 - CUSTOS!$M$38)</f>
        <v>155.57986835547288</v>
      </c>
      <c r="R23" s="26">
        <f>('TE BE'!$T$23+'TE BF'!$T$23+'TE CVA'!$T$23)*(1 - CUSTOS!$M$38)</f>
        <v>0</v>
      </c>
      <c r="S23" s="26">
        <f>('TE BE'!$U$23+'TE BF'!$U$23+'TE CVA'!$U$23)*(1 - CUSTOS!$M$38)</f>
        <v>0</v>
      </c>
      <c r="T23" s="26">
        <f>('TE BE'!$V$23+'TE BF'!$V$23+'TE CVA'!$V$23)*(1 - CUSTOS!$M$38)</f>
        <v>0</v>
      </c>
      <c r="U23" s="26">
        <f>('TE BE'!$X$23+'TE BF'!$X$23+'TE CVA'!$X$23)*(1 - CUSTOS!$M$38)</f>
        <v>0</v>
      </c>
      <c r="V23" s="26">
        <f>('TE BE'!$Z$23+'TE BF'!$Z$23+'TE CVA'!$Z$23)*(1 - CUSTOS!$M$38)</f>
        <v>6.2873353967908994</v>
      </c>
      <c r="X23" s="26">
        <v>0</v>
      </c>
      <c r="Y23" s="26">
        <v>3.8781375027795901</v>
      </c>
      <c r="Z23" s="26">
        <v>0</v>
      </c>
      <c r="AA23" s="26">
        <v>0</v>
      </c>
      <c r="AB23" s="26">
        <v>0</v>
      </c>
      <c r="AC23" s="26">
        <v>209.38845194416001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ht="11.25" customHeight="1" x14ac:dyDescent="0.3">
      <c r="A24" s="103"/>
      <c r="B24" s="103" t="s">
        <v>71</v>
      </c>
      <c r="C24" s="103" t="s">
        <v>43</v>
      </c>
      <c r="D24" s="103" t="s">
        <v>89</v>
      </c>
      <c r="E24" s="103" t="s">
        <v>25</v>
      </c>
      <c r="F24" s="103" t="s">
        <v>25</v>
      </c>
      <c r="G24" s="29" t="s">
        <v>73</v>
      </c>
      <c r="H24" s="29" t="s">
        <v>72</v>
      </c>
      <c r="I24" s="29">
        <f>'MERCADO TE'!$U$21</f>
        <v>0</v>
      </c>
      <c r="J24" s="15"/>
      <c r="L24" s="26">
        <f>('TE BE'!$L$24+'TE BF'!$L$24+'TE CVA'!$L$24)*(1 - CUSTOS!$M$39)</f>
        <v>0</v>
      </c>
      <c r="M24" s="26">
        <f>('TE BE'!$M$24+'TE BF'!$M$24+'TE CVA'!$M$24)*(1 - CUSTOS!$M$39)</f>
        <v>30.695039074927283</v>
      </c>
      <c r="N24" s="26">
        <f>('TE BE'!$N$24+'TE BF'!$N$24+'TE CVA'!$N$24)*(1 - CUSTOS!$M$39)</f>
        <v>0</v>
      </c>
      <c r="O24" s="26">
        <f>('TE BE'!$O$24+'TE BF'!$O$24+'TE CVA'!$O$24)*(1 - CUSTOS!$M$39)</f>
        <v>0</v>
      </c>
      <c r="P24" s="26">
        <f>('TE BE'!$P$24+'TE BF'!$P$24+'TE CVA'!$P$24)*(1 - CUSTOS!$M$39)</f>
        <v>-13.015179607823901</v>
      </c>
      <c r="Q24" s="26">
        <f>('TE BE'!$R$24+'TE BF'!$R$24+'TE CVA'!$R$24)*(1 - CUSTOS!$M$39)</f>
        <v>155.57986835547288</v>
      </c>
      <c r="R24" s="26">
        <f>('TE BE'!$T$24+'TE BF'!$T$24+'TE CVA'!$T$24)*(1 - CUSTOS!$M$39)</f>
        <v>0</v>
      </c>
      <c r="S24" s="26">
        <f>('TE BE'!$U$24+'TE BF'!$U$24+'TE CVA'!$U$24)*(1 - CUSTOS!$M$39)</f>
        <v>0</v>
      </c>
      <c r="T24" s="26">
        <f>('TE BE'!$V$24+'TE BF'!$V$24+'TE CVA'!$V$24)*(1 - CUSTOS!$M$39)</f>
        <v>0</v>
      </c>
      <c r="U24" s="26">
        <f>('TE BE'!$X$24+'TE BF'!$X$24+'TE CVA'!$X$24)*(1 - CUSTOS!$M$39)</f>
        <v>0</v>
      </c>
      <c r="V24" s="26">
        <f>('TE BE'!$Z$24+'TE BF'!$Z$24+'TE CVA'!$Z$24)*(1 - CUSTOS!$M$39)</f>
        <v>6.2873353967908994</v>
      </c>
      <c r="X24" s="26">
        <v>0</v>
      </c>
      <c r="Y24" s="26">
        <v>3.8781375027795901</v>
      </c>
      <c r="Z24" s="26">
        <v>0</v>
      </c>
      <c r="AA24" s="26">
        <v>0</v>
      </c>
      <c r="AB24" s="26">
        <v>0</v>
      </c>
      <c r="AC24" s="26">
        <v>209.38845194416001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 ht="11.25" customHeight="1" x14ac:dyDescent="0.3">
      <c r="A25" s="103"/>
      <c r="B25" s="103"/>
      <c r="C25" s="103"/>
      <c r="D25" s="103"/>
      <c r="E25" s="103"/>
      <c r="F25" s="103"/>
      <c r="G25" s="29" t="s">
        <v>85</v>
      </c>
      <c r="H25" s="29" t="s">
        <v>72</v>
      </c>
      <c r="I25" s="29">
        <f>'MERCADO TE'!$U$22</f>
        <v>0</v>
      </c>
      <c r="J25" s="15"/>
      <c r="L25" s="26">
        <f>('TE BE'!$L$25+'TE BF'!$L$25+'TE CVA'!$L$25)*(1 - CUSTOS!$M$39)</f>
        <v>0</v>
      </c>
      <c r="M25" s="26">
        <f>('TE BE'!$M$25+'TE BF'!$M$25+'TE CVA'!$M$25)*(1 - CUSTOS!$M$39)</f>
        <v>30.695039074927283</v>
      </c>
      <c r="N25" s="26">
        <f>('TE BE'!$N$25+'TE BF'!$N$25+'TE CVA'!$N$25)*(1 - CUSTOS!$M$39)</f>
        <v>0</v>
      </c>
      <c r="O25" s="26">
        <f>('TE BE'!$O$25+'TE BF'!$O$25+'TE CVA'!$O$25)*(1 - CUSTOS!$M$39)</f>
        <v>0</v>
      </c>
      <c r="P25" s="26">
        <f>('TE BE'!$P$25+'TE BF'!$P$25+'TE CVA'!$P$25)*(1 - CUSTOS!$M$39)</f>
        <v>-13.015179607823901</v>
      </c>
      <c r="Q25" s="26">
        <f>('TE BE'!$R$25+'TE BF'!$R$25+'TE CVA'!$R$25)*(1 - CUSTOS!$M$39)</f>
        <v>155.57986835547288</v>
      </c>
      <c r="R25" s="26">
        <f>('TE BE'!$T$25+'TE BF'!$T$25+'TE CVA'!$T$25)*(1 - CUSTOS!$M$39)</f>
        <v>0</v>
      </c>
      <c r="S25" s="26">
        <f>('TE BE'!$U$25+'TE BF'!$U$25+'TE CVA'!$U$25)*(1 - CUSTOS!$M$39)</f>
        <v>0</v>
      </c>
      <c r="T25" s="26">
        <f>('TE BE'!$V$25+'TE BF'!$V$25+'TE CVA'!$V$25)*(1 - CUSTOS!$M$39)</f>
        <v>0</v>
      </c>
      <c r="U25" s="26">
        <f>('TE BE'!$X$25+'TE BF'!$X$25+'TE CVA'!$X$25)*(1 - CUSTOS!$M$39)</f>
        <v>0</v>
      </c>
      <c r="V25" s="26">
        <f>('TE BE'!$Z$25+'TE BF'!$Z$25+'TE CVA'!$Z$25)*(1 - CUSTOS!$M$39)</f>
        <v>6.2873353967908994</v>
      </c>
      <c r="X25" s="26">
        <v>0</v>
      </c>
      <c r="Y25" s="26">
        <v>3.8781375027795901</v>
      </c>
      <c r="Z25" s="26">
        <v>0</v>
      </c>
      <c r="AA25" s="26">
        <v>0</v>
      </c>
      <c r="AB25" s="26">
        <v>0</v>
      </c>
      <c r="AC25" s="26">
        <v>209.38845194416001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</row>
    <row r="26" spans="1:34" ht="11.25" customHeight="1" x14ac:dyDescent="0.3">
      <c r="A26" s="103"/>
      <c r="B26" s="103"/>
      <c r="C26" s="103"/>
      <c r="D26" s="103"/>
      <c r="E26" s="103"/>
      <c r="F26" s="103"/>
      <c r="G26" s="29" t="s">
        <v>74</v>
      </c>
      <c r="H26" s="29" t="s">
        <v>72</v>
      </c>
      <c r="I26" s="29">
        <f>'MERCADO TE'!$U$23</f>
        <v>0</v>
      </c>
      <c r="J26" s="15"/>
      <c r="L26" s="26">
        <f>('TE BE'!$L$26+'TE BF'!$L$26+'TE CVA'!$L$26)*(1 - CUSTOS!$M$39)</f>
        <v>0</v>
      </c>
      <c r="M26" s="26">
        <f>('TE BE'!$M$26+'TE BF'!$M$26+'TE CVA'!$M$26)*(1 - CUSTOS!$M$39)</f>
        <v>30.695039074927283</v>
      </c>
      <c r="N26" s="26">
        <f>('TE BE'!$N$26+'TE BF'!$N$26+'TE CVA'!$N$26)*(1 - CUSTOS!$M$39)</f>
        <v>0</v>
      </c>
      <c r="O26" s="26">
        <f>('TE BE'!$O$26+'TE BF'!$O$26+'TE CVA'!$O$26)*(1 - CUSTOS!$M$39)</f>
        <v>0</v>
      </c>
      <c r="P26" s="26">
        <f>('TE BE'!$P$26+'TE BF'!$P$26+'TE CVA'!$P$26)*(1 - CUSTOS!$M$39)</f>
        <v>-13.015179607823901</v>
      </c>
      <c r="Q26" s="26">
        <f>('TE BE'!$R$26+'TE BF'!$R$26+'TE CVA'!$R$26)*(1 - CUSTOS!$M$39)</f>
        <v>155.57986835547288</v>
      </c>
      <c r="R26" s="26">
        <f>('TE BE'!$T$26+'TE BF'!$T$26+'TE CVA'!$T$26)*(1 - CUSTOS!$M$39)</f>
        <v>0</v>
      </c>
      <c r="S26" s="26">
        <f>('TE BE'!$U$26+'TE BF'!$U$26+'TE CVA'!$U$26)*(1 - CUSTOS!$M$39)</f>
        <v>0</v>
      </c>
      <c r="T26" s="26">
        <f>('TE BE'!$V$26+'TE BF'!$V$26+'TE CVA'!$V$26)*(1 - CUSTOS!$M$39)</f>
        <v>0</v>
      </c>
      <c r="U26" s="26">
        <f>('TE BE'!$X$26+'TE BF'!$X$26+'TE CVA'!$X$26)*(1 - CUSTOS!$M$39)</f>
        <v>0</v>
      </c>
      <c r="V26" s="26">
        <f>('TE BE'!$Z$26+'TE BF'!$Z$26+'TE CVA'!$Z$26)*(1 - CUSTOS!$M$39)</f>
        <v>6.2873353967908994</v>
      </c>
      <c r="X26" s="26">
        <v>0</v>
      </c>
      <c r="Y26" s="26">
        <v>3.8781375027795901</v>
      </c>
      <c r="Z26" s="26">
        <v>0</v>
      </c>
      <c r="AA26" s="26">
        <v>0</v>
      </c>
      <c r="AB26" s="26">
        <v>0</v>
      </c>
      <c r="AC26" s="26">
        <v>209.38845194416001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</row>
    <row r="27" spans="1:34" ht="11.25" customHeight="1" x14ac:dyDescent="0.3">
      <c r="A27" s="103"/>
      <c r="B27" s="28" t="s">
        <v>86</v>
      </c>
      <c r="C27" s="28" t="s">
        <v>43</v>
      </c>
      <c r="D27" s="28" t="s">
        <v>89</v>
      </c>
      <c r="E27" s="28" t="s">
        <v>25</v>
      </c>
      <c r="F27" s="28" t="s">
        <v>25</v>
      </c>
      <c r="G27" s="29" t="s">
        <v>79</v>
      </c>
      <c r="H27" s="29" t="s">
        <v>72</v>
      </c>
      <c r="I27" s="29">
        <f>'MERCADO TE'!$U$24</f>
        <v>0</v>
      </c>
      <c r="J27" s="15"/>
      <c r="L27" s="26">
        <f>('TE BE'!$L$27+'TE BF'!$L$27+'TE CVA'!$L$27)*(1 - CUSTOS!$M$39)</f>
        <v>0</v>
      </c>
      <c r="M27" s="26">
        <f>('TE BE'!$M$27+'TE BF'!$M$27+'TE CVA'!$M$27)*(1 - CUSTOS!$M$39)</f>
        <v>30.695039074927283</v>
      </c>
      <c r="N27" s="26">
        <f>('TE BE'!$N$27+'TE BF'!$N$27+'TE CVA'!$N$27)*(1 - CUSTOS!$M$39)</f>
        <v>0</v>
      </c>
      <c r="O27" s="26">
        <f>('TE BE'!$O$27+'TE BF'!$O$27+'TE CVA'!$O$27)*(1 - CUSTOS!$M$39)</f>
        <v>0</v>
      </c>
      <c r="P27" s="26">
        <f>('TE BE'!$P$27+'TE BF'!$P$27+'TE CVA'!$P$27)*(1 - CUSTOS!$M$39)</f>
        <v>-13.015179607823901</v>
      </c>
      <c r="Q27" s="26">
        <f>('TE BE'!$R$27+'TE BF'!$R$27+'TE CVA'!$R$27)*(1 - CUSTOS!$M$39)</f>
        <v>155.57986835547288</v>
      </c>
      <c r="R27" s="26">
        <f>('TE BE'!$T$27+'TE BF'!$T$27+'TE CVA'!$T$27)*(1 - CUSTOS!$M$39)</f>
        <v>0</v>
      </c>
      <c r="S27" s="26">
        <f>('TE BE'!$U$27+'TE BF'!$U$27+'TE CVA'!$U$27)*(1 - CUSTOS!$M$39)</f>
        <v>0</v>
      </c>
      <c r="T27" s="26">
        <f>('TE BE'!$V$27+'TE BF'!$V$27+'TE CVA'!$V$27)*(1 - CUSTOS!$M$39)</f>
        <v>0</v>
      </c>
      <c r="U27" s="26">
        <f>('TE BE'!$X$27+'TE BF'!$X$27+'TE CVA'!$X$27)*(1 - CUSTOS!$M$39)</f>
        <v>0</v>
      </c>
      <c r="V27" s="26">
        <f>('TE BE'!$Z$27+'TE BF'!$Z$27+'TE CVA'!$Z$27)*(1 - CUSTOS!$M$39)</f>
        <v>6.2873353967908994</v>
      </c>
      <c r="X27" s="26">
        <v>0</v>
      </c>
      <c r="Y27" s="26">
        <v>3.8781375027795901</v>
      </c>
      <c r="Z27" s="26">
        <v>0</v>
      </c>
      <c r="AA27" s="26">
        <v>0</v>
      </c>
      <c r="AB27" s="26">
        <v>0</v>
      </c>
      <c r="AC27" s="26">
        <v>209.38845194416001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 ht="11.25" customHeight="1" x14ac:dyDescent="0.3">
      <c r="A28" s="103"/>
      <c r="B28" s="103" t="s">
        <v>71</v>
      </c>
      <c r="C28" s="103" t="s">
        <v>43</v>
      </c>
      <c r="D28" s="103" t="s">
        <v>90</v>
      </c>
      <c r="E28" s="103" t="s">
        <v>25</v>
      </c>
      <c r="F28" s="103" t="s">
        <v>25</v>
      </c>
      <c r="G28" s="29" t="s">
        <v>73</v>
      </c>
      <c r="H28" s="29" t="s">
        <v>72</v>
      </c>
      <c r="I28" s="29">
        <f>'MERCADO TE'!$U$25</f>
        <v>0</v>
      </c>
      <c r="J28" s="15"/>
      <c r="L28" s="26">
        <f>('TE BE'!$L$28+'TE BF'!$L$28+'TE CVA'!$L$28)*(1 - CUSTOS!$M$40)</f>
        <v>0</v>
      </c>
      <c r="M28" s="26">
        <f>('TE BE'!$M$28+'TE BF'!$M$28+'TE CVA'!$M$28)*(1 - CUSTOS!$M$40)</f>
        <v>30.041953137162874</v>
      </c>
      <c r="N28" s="26">
        <f>('TE BE'!$N$28+'TE BF'!$N$28+'TE CVA'!$N$28)*(1 - CUSTOS!$M$40)</f>
        <v>0</v>
      </c>
      <c r="O28" s="26">
        <f>('TE BE'!$O$28+'TE BF'!$O$28+'TE CVA'!$O$28)*(1 - CUSTOS!$M$40)</f>
        <v>0</v>
      </c>
      <c r="P28" s="26">
        <f>('TE BE'!$P$28+'TE BF'!$P$28+'TE CVA'!$P$28)*(1 - CUSTOS!$M$40)</f>
        <v>-12.738260892763819</v>
      </c>
      <c r="Q28" s="26">
        <f>('TE BE'!$R$28+'TE BF'!$R$28+'TE CVA'!$R$28)*(1 - CUSTOS!$M$40)</f>
        <v>152.26965839046284</v>
      </c>
      <c r="R28" s="26">
        <f>('TE BE'!$T$28+'TE BF'!$T$28+'TE CVA'!$T$28)*(1 - CUSTOS!$M$40)</f>
        <v>0</v>
      </c>
      <c r="S28" s="26">
        <f>('TE BE'!$U$28+'TE BF'!$U$28+'TE CVA'!$U$28)*(1 - CUSTOS!$M$40)</f>
        <v>0</v>
      </c>
      <c r="T28" s="26">
        <f>('TE BE'!$V$28+'TE BF'!$V$28+'TE CVA'!$V$28)*(1 - CUSTOS!$M$40)</f>
        <v>0</v>
      </c>
      <c r="U28" s="26">
        <f>('TE BE'!$X$28+'TE BF'!$X$28+'TE CVA'!$X$28)*(1 - CUSTOS!$M$40)</f>
        <v>0</v>
      </c>
      <c r="V28" s="26">
        <f>('TE BE'!$Z$28+'TE BF'!$Z$28+'TE CVA'!$Z$28)*(1 - CUSTOS!$M$40)</f>
        <v>6.1535623032421576</v>
      </c>
      <c r="X28" s="26">
        <v>0</v>
      </c>
      <c r="Y28" s="26">
        <v>3.7018585253805201</v>
      </c>
      <c r="Z28" s="26">
        <v>0</v>
      </c>
      <c r="AA28" s="26">
        <v>0</v>
      </c>
      <c r="AB28" s="26">
        <v>0</v>
      </c>
      <c r="AC28" s="26">
        <v>199.87079503760799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 ht="11.25" customHeight="1" x14ac:dyDescent="0.3">
      <c r="A29" s="103"/>
      <c r="B29" s="103"/>
      <c r="C29" s="103"/>
      <c r="D29" s="103"/>
      <c r="E29" s="103"/>
      <c r="F29" s="103"/>
      <c r="G29" s="29" t="s">
        <v>85</v>
      </c>
      <c r="H29" s="29" t="s">
        <v>72</v>
      </c>
      <c r="I29" s="29">
        <f>'MERCADO TE'!$U$26</f>
        <v>0</v>
      </c>
      <c r="J29" s="15"/>
      <c r="L29" s="26">
        <f>('TE BE'!$L$29+'TE BF'!$L$29+'TE CVA'!$L$29)*(1 - CUSTOS!$M$40)</f>
        <v>0</v>
      </c>
      <c r="M29" s="26">
        <f>('TE BE'!$M$29+'TE BF'!$M$29+'TE CVA'!$M$29)*(1 - CUSTOS!$M$40)</f>
        <v>30.041953137162874</v>
      </c>
      <c r="N29" s="26">
        <f>('TE BE'!$N$29+'TE BF'!$N$29+'TE CVA'!$N$29)*(1 - CUSTOS!$M$40)</f>
        <v>0</v>
      </c>
      <c r="O29" s="26">
        <f>('TE BE'!$O$29+'TE BF'!$O$29+'TE CVA'!$O$29)*(1 - CUSTOS!$M$40)</f>
        <v>0</v>
      </c>
      <c r="P29" s="26">
        <f>('TE BE'!$P$29+'TE BF'!$P$29+'TE CVA'!$P$29)*(1 - CUSTOS!$M$40)</f>
        <v>-12.738260892763819</v>
      </c>
      <c r="Q29" s="26">
        <f>('TE BE'!$R$29+'TE BF'!$R$29+'TE CVA'!$R$29)*(1 - CUSTOS!$M$40)</f>
        <v>152.26965839046284</v>
      </c>
      <c r="R29" s="26">
        <f>('TE BE'!$T$29+'TE BF'!$T$29+'TE CVA'!$T$29)*(1 - CUSTOS!$M$40)</f>
        <v>0</v>
      </c>
      <c r="S29" s="26">
        <f>('TE BE'!$U$29+'TE BF'!$U$29+'TE CVA'!$U$29)*(1 - CUSTOS!$M$40)</f>
        <v>0</v>
      </c>
      <c r="T29" s="26">
        <f>('TE BE'!$V$29+'TE BF'!$V$29+'TE CVA'!$V$29)*(1 - CUSTOS!$M$40)</f>
        <v>0</v>
      </c>
      <c r="U29" s="26">
        <f>('TE BE'!$X$29+'TE BF'!$X$29+'TE CVA'!$X$29)*(1 - CUSTOS!$M$40)</f>
        <v>0</v>
      </c>
      <c r="V29" s="26">
        <f>('TE BE'!$Z$29+'TE BF'!$Z$29+'TE CVA'!$Z$29)*(1 - CUSTOS!$M$40)</f>
        <v>6.1535623032421576</v>
      </c>
      <c r="X29" s="26">
        <v>0</v>
      </c>
      <c r="Y29" s="26">
        <v>3.7018585253805201</v>
      </c>
      <c r="Z29" s="26">
        <v>0</v>
      </c>
      <c r="AA29" s="26">
        <v>0</v>
      </c>
      <c r="AB29" s="26">
        <v>0</v>
      </c>
      <c r="AC29" s="26">
        <v>199.87079503760799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</row>
    <row r="30" spans="1:34" ht="11.25" customHeight="1" x14ac:dyDescent="0.3">
      <c r="A30" s="103"/>
      <c r="B30" s="103"/>
      <c r="C30" s="103"/>
      <c r="D30" s="103"/>
      <c r="E30" s="103"/>
      <c r="F30" s="103"/>
      <c r="G30" s="29" t="s">
        <v>74</v>
      </c>
      <c r="H30" s="29" t="s">
        <v>72</v>
      </c>
      <c r="I30" s="29">
        <f>'MERCADO TE'!$U$27</f>
        <v>0</v>
      </c>
      <c r="J30" s="15"/>
      <c r="L30" s="26">
        <f>('TE BE'!$L$30+'TE BF'!$L$30+'TE CVA'!$L$30)*(1 - CUSTOS!$M$40)</f>
        <v>0</v>
      </c>
      <c r="M30" s="26">
        <f>('TE BE'!$M$30+'TE BF'!$M$30+'TE CVA'!$M$30)*(1 - CUSTOS!$M$40)</f>
        <v>30.041953137162874</v>
      </c>
      <c r="N30" s="26">
        <f>('TE BE'!$N$30+'TE BF'!$N$30+'TE CVA'!$N$30)*(1 - CUSTOS!$M$40)</f>
        <v>0</v>
      </c>
      <c r="O30" s="26">
        <f>('TE BE'!$O$30+'TE BF'!$O$30+'TE CVA'!$O$30)*(1 - CUSTOS!$M$40)</f>
        <v>0</v>
      </c>
      <c r="P30" s="26">
        <f>('TE BE'!$P$30+'TE BF'!$P$30+'TE CVA'!$P$30)*(1 - CUSTOS!$M$40)</f>
        <v>-12.738260892763819</v>
      </c>
      <c r="Q30" s="26">
        <f>('TE BE'!$R$30+'TE BF'!$R$30+'TE CVA'!$R$30)*(1 - CUSTOS!$M$40)</f>
        <v>152.26965839046284</v>
      </c>
      <c r="R30" s="26">
        <f>('TE BE'!$T$30+'TE BF'!$T$30+'TE CVA'!$T$30)*(1 - CUSTOS!$M$40)</f>
        <v>0</v>
      </c>
      <c r="S30" s="26">
        <f>('TE BE'!$U$30+'TE BF'!$U$30+'TE CVA'!$U$30)*(1 - CUSTOS!$M$40)</f>
        <v>0</v>
      </c>
      <c r="T30" s="26">
        <f>('TE BE'!$V$30+'TE BF'!$V$30+'TE CVA'!$V$30)*(1 - CUSTOS!$M$40)</f>
        <v>0</v>
      </c>
      <c r="U30" s="26">
        <f>('TE BE'!$X$30+'TE BF'!$X$30+'TE CVA'!$X$30)*(1 - CUSTOS!$M$40)</f>
        <v>0</v>
      </c>
      <c r="V30" s="26">
        <f>('TE BE'!$Z$30+'TE BF'!$Z$30+'TE CVA'!$Z$30)*(1 - CUSTOS!$M$40)</f>
        <v>6.1535623032421576</v>
      </c>
      <c r="X30" s="26">
        <v>0</v>
      </c>
      <c r="Y30" s="26">
        <v>3.7018585253805201</v>
      </c>
      <c r="Z30" s="26">
        <v>0</v>
      </c>
      <c r="AA30" s="26">
        <v>0</v>
      </c>
      <c r="AB30" s="26">
        <v>0</v>
      </c>
      <c r="AC30" s="26">
        <v>199.87079503760799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</row>
    <row r="31" spans="1:34" ht="11.25" customHeight="1" x14ac:dyDescent="0.3">
      <c r="A31" s="103"/>
      <c r="B31" s="28" t="s">
        <v>86</v>
      </c>
      <c r="C31" s="28" t="s">
        <v>43</v>
      </c>
      <c r="D31" s="28" t="s">
        <v>90</v>
      </c>
      <c r="E31" s="28" t="s">
        <v>25</v>
      </c>
      <c r="F31" s="28" t="s">
        <v>25</v>
      </c>
      <c r="G31" s="29" t="s">
        <v>79</v>
      </c>
      <c r="H31" s="29" t="s">
        <v>72</v>
      </c>
      <c r="I31" s="29">
        <f>'MERCADO TE'!$U$28</f>
        <v>0</v>
      </c>
      <c r="J31" s="15"/>
      <c r="L31" s="26">
        <f>('TE BE'!$L$31+'TE BF'!$L$31+'TE CVA'!$L$31)*(1 - CUSTOS!$M$40)</f>
        <v>0</v>
      </c>
      <c r="M31" s="26">
        <f>('TE BE'!$M$31+'TE BF'!$M$31+'TE CVA'!$M$31)*(1 - CUSTOS!$M$40)</f>
        <v>30.041953137162874</v>
      </c>
      <c r="N31" s="26">
        <f>('TE BE'!$N$31+'TE BF'!$N$31+'TE CVA'!$N$31)*(1 - CUSTOS!$M$40)</f>
        <v>0</v>
      </c>
      <c r="O31" s="26">
        <f>('TE BE'!$O$31+'TE BF'!$O$31+'TE CVA'!$O$31)*(1 - CUSTOS!$M$40)</f>
        <v>0</v>
      </c>
      <c r="P31" s="26">
        <f>('TE BE'!$P$31+'TE BF'!$P$31+'TE CVA'!$P$31)*(1 - CUSTOS!$M$40)</f>
        <v>-12.738260892763819</v>
      </c>
      <c r="Q31" s="26">
        <f>('TE BE'!$R$31+'TE BF'!$R$31+'TE CVA'!$R$31)*(1 - CUSTOS!$M$40)</f>
        <v>152.26965839046284</v>
      </c>
      <c r="R31" s="26">
        <f>('TE BE'!$T$31+'TE BF'!$T$31+'TE CVA'!$T$31)*(1 - CUSTOS!$M$40)</f>
        <v>0</v>
      </c>
      <c r="S31" s="26">
        <f>('TE BE'!$U$31+'TE BF'!$U$31+'TE CVA'!$U$31)*(1 - CUSTOS!$M$40)</f>
        <v>0</v>
      </c>
      <c r="T31" s="26">
        <f>('TE BE'!$V$31+'TE BF'!$V$31+'TE CVA'!$V$31)*(1 - CUSTOS!$M$40)</f>
        <v>0</v>
      </c>
      <c r="U31" s="26">
        <f>('TE BE'!$X$31+'TE BF'!$X$31+'TE CVA'!$X$31)*(1 - CUSTOS!$M$40)</f>
        <v>0</v>
      </c>
      <c r="V31" s="26">
        <f>('TE BE'!$Z$31+'TE BF'!$Z$31+'TE CVA'!$Z$31)*(1 - CUSTOS!$M$40)</f>
        <v>6.1535623032421576</v>
      </c>
      <c r="X31" s="26">
        <v>0</v>
      </c>
      <c r="Y31" s="26">
        <v>3.7018585253805201</v>
      </c>
      <c r="Z31" s="26">
        <v>0</v>
      </c>
      <c r="AA31" s="26">
        <v>0</v>
      </c>
      <c r="AB31" s="26">
        <v>0</v>
      </c>
      <c r="AC31" s="26">
        <v>199.87079503760799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 ht="11.25" customHeight="1" x14ac:dyDescent="0.3">
      <c r="A32" s="103"/>
      <c r="B32" s="103" t="s">
        <v>87</v>
      </c>
      <c r="C32" s="103" t="s">
        <v>43</v>
      </c>
      <c r="D32" s="28" t="s">
        <v>25</v>
      </c>
      <c r="E32" s="28" t="s">
        <v>25</v>
      </c>
      <c r="F32" s="28" t="s">
        <v>25</v>
      </c>
      <c r="G32" s="29" t="s">
        <v>79</v>
      </c>
      <c r="H32" s="29" t="s">
        <v>72</v>
      </c>
      <c r="I32" s="29">
        <f>'MERCADO TE'!$U$29</f>
        <v>0</v>
      </c>
      <c r="J32" s="15"/>
      <c r="L32" s="26">
        <f>('TE BE'!$L$32+'TE BF'!$L$32+'TE CVA'!$L$32)*(1 - CUSTOS!$M$38)</f>
        <v>0</v>
      </c>
      <c r="M32" s="26">
        <f>('TE BE'!$M$32+'TE BF'!$M$32+'TE CVA'!$M$32)*(1 - CUSTOS!$M$38)</f>
        <v>30.695039074927283</v>
      </c>
      <c r="N32" s="26">
        <f>('TE BE'!$N$32+'TE BF'!$N$32+'TE CVA'!$N$32)*(1 - CUSTOS!$M$38)</f>
        <v>0</v>
      </c>
      <c r="O32" s="26">
        <f>('TE BE'!$O$32+'TE BF'!$O$32+'TE CVA'!$O$32)*(1 - CUSTOS!$M$38)</f>
        <v>0</v>
      </c>
      <c r="P32" s="26">
        <f>('TE BE'!$P$32+'TE BF'!$P$32+'TE CVA'!$P$32)*(1 - CUSTOS!$M$38)</f>
        <v>-13.015179607823901</v>
      </c>
      <c r="Q32" s="26">
        <f>('TE BE'!$R$32+'TE BF'!$R$32+'TE CVA'!$R$32)*(1 - CUSTOS!$M$38)</f>
        <v>155.57986835547288</v>
      </c>
      <c r="R32" s="26">
        <f>('TE BE'!$T$32+'TE BF'!$T$32+'TE CVA'!$T$32)*(1 - CUSTOS!$M$38)</f>
        <v>0</v>
      </c>
      <c r="S32" s="26">
        <f>('TE BE'!$U$32+'TE BF'!$U$32+'TE CVA'!$U$32)*(1 - CUSTOS!$M$38)</f>
        <v>0</v>
      </c>
      <c r="T32" s="26">
        <f>('TE BE'!$V$32+'TE BF'!$V$32+'TE CVA'!$V$32)*(1 - CUSTOS!$M$38)</f>
        <v>0</v>
      </c>
      <c r="U32" s="26">
        <f>('TE BE'!$X$32+'TE BF'!$X$32+'TE CVA'!$X$32)*(1 - CUSTOS!$M$38)</f>
        <v>0</v>
      </c>
      <c r="V32" s="26">
        <f>('TE BE'!$Z$32+'TE BF'!$Z$32+'TE CVA'!$Z$32)*(1 - CUSTOS!$M$38)</f>
        <v>6.2873353967908994</v>
      </c>
      <c r="X32" s="26">
        <v>0</v>
      </c>
      <c r="Y32" s="26">
        <v>3.8781375027795901</v>
      </c>
      <c r="Z32" s="26">
        <v>0</v>
      </c>
      <c r="AA32" s="26">
        <v>0</v>
      </c>
      <c r="AB32" s="26">
        <v>0</v>
      </c>
      <c r="AC32" s="26">
        <v>209.38845194416001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</row>
    <row r="33" spans="1:34" ht="11.25" customHeight="1" x14ac:dyDescent="0.3">
      <c r="A33" s="103"/>
      <c r="B33" s="103"/>
      <c r="C33" s="103"/>
      <c r="D33" s="28" t="s">
        <v>89</v>
      </c>
      <c r="E33" s="28" t="s">
        <v>25</v>
      </c>
      <c r="F33" s="28" t="s">
        <v>25</v>
      </c>
      <c r="G33" s="29" t="s">
        <v>79</v>
      </c>
      <c r="H33" s="29" t="s">
        <v>72</v>
      </c>
      <c r="I33" s="29">
        <f>'MERCADO TE'!$U$30</f>
        <v>0</v>
      </c>
      <c r="J33" s="15"/>
      <c r="L33" s="26">
        <f>('TE BE'!$L$33+'TE BF'!$L$33+'TE CVA'!$L$33)*(1 - CUSTOS!$M$39)</f>
        <v>0</v>
      </c>
      <c r="M33" s="26">
        <f>('TE BE'!$M$33+'TE BF'!$M$33+'TE CVA'!$M$33)*(1 - CUSTOS!$M$39)</f>
        <v>30.695039074927283</v>
      </c>
      <c r="N33" s="26">
        <f>('TE BE'!$N$33+'TE BF'!$N$33+'TE CVA'!$N$33)*(1 - CUSTOS!$M$39)</f>
        <v>0</v>
      </c>
      <c r="O33" s="26">
        <f>('TE BE'!$O$33+'TE BF'!$O$33+'TE CVA'!$O$33)*(1 - CUSTOS!$M$39)</f>
        <v>0</v>
      </c>
      <c r="P33" s="26">
        <f>('TE BE'!$P$33+'TE BF'!$P$33+'TE CVA'!$P$33)*(1 - CUSTOS!$M$39)</f>
        <v>-13.015179607823901</v>
      </c>
      <c r="Q33" s="26">
        <f>('TE BE'!$R$33+'TE BF'!$R$33+'TE CVA'!$R$33)*(1 - CUSTOS!$M$39)</f>
        <v>155.57986835547288</v>
      </c>
      <c r="R33" s="26">
        <f>('TE BE'!$T$33+'TE BF'!$T$33+'TE CVA'!$T$33)*(1 - CUSTOS!$M$39)</f>
        <v>0</v>
      </c>
      <c r="S33" s="26">
        <f>('TE BE'!$U$33+'TE BF'!$U$33+'TE CVA'!$U$33)*(1 - CUSTOS!$M$39)</f>
        <v>0</v>
      </c>
      <c r="T33" s="26">
        <f>('TE BE'!$V$33+'TE BF'!$V$33+'TE CVA'!$V$33)*(1 - CUSTOS!$M$39)</f>
        <v>0</v>
      </c>
      <c r="U33" s="26">
        <f>('TE BE'!$X$33+'TE BF'!$X$33+'TE CVA'!$X$33)*(1 - CUSTOS!$M$39)</f>
        <v>0</v>
      </c>
      <c r="V33" s="26">
        <f>('TE BE'!$Z$33+'TE BF'!$Z$33+'TE CVA'!$Z$33)*(1 - CUSTOS!$M$39)</f>
        <v>6.2873353967908994</v>
      </c>
      <c r="X33" s="26">
        <v>0</v>
      </c>
      <c r="Y33" s="26">
        <v>3.8781375027795901</v>
      </c>
      <c r="Z33" s="26">
        <v>0</v>
      </c>
      <c r="AA33" s="26">
        <v>0</v>
      </c>
      <c r="AB33" s="26">
        <v>0</v>
      </c>
      <c r="AC33" s="26">
        <v>209.38845194416001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 ht="11.25" customHeight="1" x14ac:dyDescent="0.3">
      <c r="A34" s="103"/>
      <c r="B34" s="103"/>
      <c r="C34" s="103"/>
      <c r="D34" s="28" t="s">
        <v>90</v>
      </c>
      <c r="E34" s="28" t="s">
        <v>25</v>
      </c>
      <c r="F34" s="28" t="s">
        <v>25</v>
      </c>
      <c r="G34" s="29" t="s">
        <v>79</v>
      </c>
      <c r="H34" s="29" t="s">
        <v>72</v>
      </c>
      <c r="I34" s="29">
        <f>'MERCADO TE'!$U$31</f>
        <v>0</v>
      </c>
      <c r="J34" s="15"/>
      <c r="L34" s="26">
        <f>('TE BE'!$L$34+'TE BF'!$L$34+'TE CVA'!$L$34)*(1 - CUSTOS!$M$40)</f>
        <v>0</v>
      </c>
      <c r="M34" s="26">
        <f>('TE BE'!$M$34+'TE BF'!$M$34+'TE CVA'!$M$34)*(1 - CUSTOS!$M$40)</f>
        <v>30.041953137162874</v>
      </c>
      <c r="N34" s="26">
        <f>('TE BE'!$N$34+'TE BF'!$N$34+'TE CVA'!$N$34)*(1 - CUSTOS!$M$40)</f>
        <v>0</v>
      </c>
      <c r="O34" s="26">
        <f>('TE BE'!$O$34+'TE BF'!$O$34+'TE CVA'!$O$34)*(1 - CUSTOS!$M$40)</f>
        <v>0</v>
      </c>
      <c r="P34" s="26">
        <f>('TE BE'!$P$34+'TE BF'!$P$34+'TE CVA'!$P$34)*(1 - CUSTOS!$M$40)</f>
        <v>-12.738260892763819</v>
      </c>
      <c r="Q34" s="26">
        <f>('TE BE'!$R$34+'TE BF'!$R$34+'TE CVA'!$R$34)*(1 - CUSTOS!$M$40)</f>
        <v>152.26965839046284</v>
      </c>
      <c r="R34" s="26">
        <f>('TE BE'!$T$34+'TE BF'!$T$34+'TE CVA'!$T$34)*(1 - CUSTOS!$M$40)</f>
        <v>0</v>
      </c>
      <c r="S34" s="26">
        <f>('TE BE'!$U$34+'TE BF'!$U$34+'TE CVA'!$U$34)*(1 - CUSTOS!$M$40)</f>
        <v>0</v>
      </c>
      <c r="T34" s="26">
        <f>('TE BE'!$V$34+'TE BF'!$V$34+'TE CVA'!$V$34)*(1 - CUSTOS!$M$40)</f>
        <v>0</v>
      </c>
      <c r="U34" s="26">
        <f>('TE BE'!$X$34+'TE BF'!$X$34+'TE CVA'!$X$34)*(1 - CUSTOS!$M$40)</f>
        <v>0</v>
      </c>
      <c r="V34" s="26">
        <f>('TE BE'!$Z$34+'TE BF'!$Z$34+'TE CVA'!$Z$34)*(1 - CUSTOS!$M$40)</f>
        <v>6.1535623032421576</v>
      </c>
      <c r="X34" s="26">
        <v>0</v>
      </c>
      <c r="Y34" s="26">
        <v>3.7018585253805201</v>
      </c>
      <c r="Z34" s="26">
        <v>0</v>
      </c>
      <c r="AA34" s="26">
        <v>0</v>
      </c>
      <c r="AB34" s="26">
        <v>0</v>
      </c>
      <c r="AC34" s="26">
        <v>199.87079503760799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</row>
    <row r="35" spans="1:34" ht="11.25" customHeight="1" x14ac:dyDescent="0.3">
      <c r="A35" s="103" t="s">
        <v>33</v>
      </c>
      <c r="B35" s="103" t="s">
        <v>71</v>
      </c>
      <c r="C35" s="103" t="s">
        <v>25</v>
      </c>
      <c r="D35" s="103" t="s">
        <v>25</v>
      </c>
      <c r="E35" s="103" t="s">
        <v>25</v>
      </c>
      <c r="F35" s="103" t="s">
        <v>25</v>
      </c>
      <c r="G35" s="29" t="s">
        <v>73</v>
      </c>
      <c r="H35" s="29" t="s">
        <v>72</v>
      </c>
      <c r="I35" s="29">
        <f>'MERCADO TE'!$U$32</f>
        <v>0.86799999999999977</v>
      </c>
      <c r="J35" s="15"/>
      <c r="L35" s="26">
        <f>('TE BE'!$L$35+'TE BF'!$L$35+'TE CVA'!$L$35)*1</f>
        <v>0</v>
      </c>
      <c r="M35" s="26">
        <f>('TE BE'!$M$35+'TE BF'!$M$35+'TE CVA'!$M$35)*1</f>
        <v>32.654296888220514</v>
      </c>
      <c r="N35" s="26">
        <f>('TE BE'!$N$35+'TE BF'!$N$35+'TE CVA'!$N$35)*1</f>
        <v>0</v>
      </c>
      <c r="O35" s="26">
        <f>('TE BE'!$O$35+'TE BF'!$O$35+'TE CVA'!$O$35)*1</f>
        <v>0</v>
      </c>
      <c r="P35" s="26">
        <f>('TE BE'!$P$35+'TE BF'!$P$35+'TE CVA'!$P$35)*1</f>
        <v>-13.84593575300415</v>
      </c>
      <c r="Q35" s="26">
        <f>('TE BE'!$R$35+'TE BF'!$R$35+'TE CVA'!$R$35)*1</f>
        <v>165.51049825050308</v>
      </c>
      <c r="R35" s="26">
        <f>('TE BE'!$T$35+'TE BF'!$T$35+'TE CVA'!$T$35)*1</f>
        <v>0</v>
      </c>
      <c r="S35" s="26">
        <f>('TE BE'!$U$35+'TE BF'!$U$35+'TE CVA'!$U$35)*1</f>
        <v>0</v>
      </c>
      <c r="T35" s="26">
        <f>('TE BE'!$V$35+'TE BF'!$V$35+'TE CVA'!$V$35)*1</f>
        <v>0</v>
      </c>
      <c r="U35" s="26">
        <f>('TE BE'!$X$35+'TE BF'!$X$35+'TE CVA'!$X$35)*1</f>
        <v>0</v>
      </c>
      <c r="V35" s="26">
        <f>('TE BE'!$Z$35+'TE BF'!$Z$35+'TE CVA'!$Z$35)*1</f>
        <v>6.6886546774371274</v>
      </c>
      <c r="X35" s="26">
        <v>0</v>
      </c>
      <c r="Y35" s="26">
        <v>4.4069744349768101</v>
      </c>
      <c r="Z35" s="26">
        <v>0</v>
      </c>
      <c r="AA35" s="26">
        <v>0</v>
      </c>
      <c r="AB35" s="26">
        <v>0</v>
      </c>
      <c r="AC35" s="26">
        <v>237.941422663818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 ht="11.25" customHeight="1" x14ac:dyDescent="0.3">
      <c r="A36" s="103"/>
      <c r="B36" s="103"/>
      <c r="C36" s="103"/>
      <c r="D36" s="103"/>
      <c r="E36" s="103"/>
      <c r="F36" s="103"/>
      <c r="G36" s="29" t="s">
        <v>85</v>
      </c>
      <c r="H36" s="29" t="s">
        <v>72</v>
      </c>
      <c r="I36" s="29">
        <f>'MERCADO TE'!$U$33</f>
        <v>0.57500000000000007</v>
      </c>
      <c r="J36" s="15"/>
      <c r="L36" s="26">
        <f>('TE BE'!$L$36+'TE BF'!$L$36+'TE CVA'!$L$36)*1</f>
        <v>0</v>
      </c>
      <c r="M36" s="26">
        <f>('TE BE'!$M$36+'TE BF'!$M$36+'TE CVA'!$M$36)*1</f>
        <v>32.654296888220514</v>
      </c>
      <c r="N36" s="26">
        <f>('TE BE'!$N$36+'TE BF'!$N$36+'TE CVA'!$N$36)*1</f>
        <v>0</v>
      </c>
      <c r="O36" s="26">
        <f>('TE BE'!$O$36+'TE BF'!$O$36+'TE CVA'!$O$36)*1</f>
        <v>0</v>
      </c>
      <c r="P36" s="26">
        <f>('TE BE'!$P$36+'TE BF'!$P$36+'TE CVA'!$P$36)*1</f>
        <v>-13.84593575300415</v>
      </c>
      <c r="Q36" s="26">
        <f>('TE BE'!$R$36+'TE BF'!$R$36+'TE CVA'!$R$36)*1</f>
        <v>165.51049825050308</v>
      </c>
      <c r="R36" s="26">
        <f>('TE BE'!$T$36+'TE BF'!$T$36+'TE CVA'!$T$36)*1</f>
        <v>0</v>
      </c>
      <c r="S36" s="26">
        <f>('TE BE'!$U$36+'TE BF'!$U$36+'TE CVA'!$U$36)*1</f>
        <v>0</v>
      </c>
      <c r="T36" s="26">
        <f>('TE BE'!$V$36+'TE BF'!$V$36+'TE CVA'!$V$36)*1</f>
        <v>0</v>
      </c>
      <c r="U36" s="26">
        <f>('TE BE'!$X$36+'TE BF'!$X$36+'TE CVA'!$X$36)*1</f>
        <v>0</v>
      </c>
      <c r="V36" s="26">
        <f>('TE BE'!$Z$36+'TE BF'!$Z$36+'TE CVA'!$Z$36)*1</f>
        <v>6.6886546774371274</v>
      </c>
      <c r="X36" s="26">
        <v>0</v>
      </c>
      <c r="Y36" s="26">
        <v>4.4069744349768101</v>
      </c>
      <c r="Z36" s="26">
        <v>0</v>
      </c>
      <c r="AA36" s="26">
        <v>0</v>
      </c>
      <c r="AB36" s="26">
        <v>0</v>
      </c>
      <c r="AC36" s="26">
        <v>237.941422663818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</row>
    <row r="37" spans="1:34" ht="11.25" customHeight="1" x14ac:dyDescent="0.3">
      <c r="A37" s="103"/>
      <c r="B37" s="103"/>
      <c r="C37" s="103"/>
      <c r="D37" s="103"/>
      <c r="E37" s="103"/>
      <c r="F37" s="103"/>
      <c r="G37" s="29" t="s">
        <v>74</v>
      </c>
      <c r="H37" s="29" t="s">
        <v>72</v>
      </c>
      <c r="I37" s="29">
        <f>'MERCADO TE'!$U$34</f>
        <v>9.5989999999999984</v>
      </c>
      <c r="J37" s="15"/>
      <c r="L37" s="26">
        <f>('TE BE'!$L$37+'TE BF'!$L$37+'TE CVA'!$L$37)*1</f>
        <v>0</v>
      </c>
      <c r="M37" s="26">
        <f>('TE BE'!$M$37+'TE BF'!$M$37+'TE CVA'!$M$37)*1</f>
        <v>32.654296888220514</v>
      </c>
      <c r="N37" s="26">
        <f>('TE BE'!$N$37+'TE BF'!$N$37+'TE CVA'!$N$37)*1</f>
        <v>0</v>
      </c>
      <c r="O37" s="26">
        <f>('TE BE'!$O$37+'TE BF'!$O$37+'TE CVA'!$O$37)*1</f>
        <v>0</v>
      </c>
      <c r="P37" s="26">
        <f>('TE BE'!$P$37+'TE BF'!$P$37+'TE CVA'!$P$37)*1</f>
        <v>-13.84593575300415</v>
      </c>
      <c r="Q37" s="26">
        <f>('TE BE'!$R$37+'TE BF'!$R$37+'TE CVA'!$R$37)*1</f>
        <v>165.51049825050308</v>
      </c>
      <c r="R37" s="26">
        <f>('TE BE'!$T$37+'TE BF'!$T$37+'TE CVA'!$T$37)*1</f>
        <v>0</v>
      </c>
      <c r="S37" s="26">
        <f>('TE BE'!$U$37+'TE BF'!$U$37+'TE CVA'!$U$37)*1</f>
        <v>0</v>
      </c>
      <c r="T37" s="26">
        <f>('TE BE'!$V$37+'TE BF'!$V$37+'TE CVA'!$V$37)*1</f>
        <v>0</v>
      </c>
      <c r="U37" s="26">
        <f>('TE BE'!$X$37+'TE BF'!$X$37+'TE CVA'!$X$37)*1</f>
        <v>0</v>
      </c>
      <c r="V37" s="26">
        <f>('TE BE'!$Z$37+'TE BF'!$Z$37+'TE CVA'!$Z$37)*1</f>
        <v>6.6886546774371274</v>
      </c>
      <c r="X37" s="26">
        <v>0</v>
      </c>
      <c r="Y37" s="26">
        <v>4.4069744349768101</v>
      </c>
      <c r="Z37" s="26">
        <v>0</v>
      </c>
      <c r="AA37" s="26">
        <v>0</v>
      </c>
      <c r="AB37" s="26">
        <v>0</v>
      </c>
      <c r="AC37" s="26">
        <v>237.941422663818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</row>
    <row r="38" spans="1:34" ht="11.25" customHeight="1" x14ac:dyDescent="0.3">
      <c r="A38" s="103"/>
      <c r="B38" s="28" t="s">
        <v>86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79</v>
      </c>
      <c r="H38" s="29" t="s">
        <v>72</v>
      </c>
      <c r="I38" s="29">
        <f>'MERCADO TE'!$U$35</f>
        <v>3233.996000000001</v>
      </c>
      <c r="J38" s="15"/>
      <c r="L38" s="26">
        <f>('TE BE'!$L$38+'TE BF'!$L$38+'TE CVA'!$L$38)*1</f>
        <v>0</v>
      </c>
      <c r="M38" s="26">
        <f>('TE BE'!$M$38+'TE BF'!$M$38+'TE CVA'!$M$38)*1</f>
        <v>32.654296888220514</v>
      </c>
      <c r="N38" s="26">
        <f>('TE BE'!$N$38+'TE BF'!$N$38+'TE CVA'!$N$38)*1</f>
        <v>0</v>
      </c>
      <c r="O38" s="26">
        <f>('TE BE'!$O$38+'TE BF'!$O$38+'TE CVA'!$O$38)*1</f>
        <v>0</v>
      </c>
      <c r="P38" s="26">
        <f>('TE BE'!$P$38+'TE BF'!$P$38+'TE CVA'!$P$38)*1</f>
        <v>-13.84593575300415</v>
      </c>
      <c r="Q38" s="26">
        <f>('TE BE'!$R$38+'TE BF'!$R$38+'TE CVA'!$R$38)*1</f>
        <v>165.51049825050308</v>
      </c>
      <c r="R38" s="26">
        <f>('TE BE'!$T$38+'TE BF'!$T$38+'TE CVA'!$T$38)*1</f>
        <v>0</v>
      </c>
      <c r="S38" s="26">
        <f>('TE BE'!$U$38+'TE BF'!$U$38+'TE CVA'!$U$38)*1</f>
        <v>0</v>
      </c>
      <c r="T38" s="26">
        <f>('TE BE'!$V$38+'TE BF'!$V$38+'TE CVA'!$V$38)*1</f>
        <v>0</v>
      </c>
      <c r="U38" s="26">
        <f>('TE BE'!$X$38+'TE BF'!$X$38+'TE CVA'!$X$38)*1</f>
        <v>0</v>
      </c>
      <c r="V38" s="26">
        <f>('TE BE'!$Z$38+'TE BF'!$Z$38+'TE CVA'!$Z$38)*1</f>
        <v>6.6886546774371274</v>
      </c>
      <c r="X38" s="26">
        <v>0</v>
      </c>
      <c r="Y38" s="26">
        <v>4.4069744349768101</v>
      </c>
      <c r="Z38" s="26">
        <v>0</v>
      </c>
      <c r="AA38" s="26">
        <v>0</v>
      </c>
      <c r="AB38" s="26">
        <v>0</v>
      </c>
      <c r="AC38" s="26">
        <v>237.941422663818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</row>
    <row r="39" spans="1:34" ht="11.25" customHeight="1" x14ac:dyDescent="0.3">
      <c r="A39" s="103"/>
      <c r="B39" s="28" t="s">
        <v>87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79</v>
      </c>
      <c r="H39" s="29" t="s">
        <v>72</v>
      </c>
      <c r="I39" s="29">
        <f>'MERCADO TE'!$U$36</f>
        <v>0</v>
      </c>
      <c r="J39" s="15"/>
      <c r="L39" s="26">
        <f>('TE BE'!$L$39+'TE BF'!$L$39+'TE CVA'!$L$39)*1</f>
        <v>0</v>
      </c>
      <c r="M39" s="26">
        <f>('TE BE'!$M$39+'TE BF'!$M$39+'TE CVA'!$M$39)*1</f>
        <v>32.654296888220514</v>
      </c>
      <c r="N39" s="26">
        <f>('TE BE'!$N$39+'TE BF'!$N$39+'TE CVA'!$N$39)*1</f>
        <v>0</v>
      </c>
      <c r="O39" s="26">
        <f>('TE BE'!$O$39+'TE BF'!$O$39+'TE CVA'!$O$39)*1</f>
        <v>0</v>
      </c>
      <c r="P39" s="26">
        <f>('TE BE'!$P$39+'TE BF'!$P$39+'TE CVA'!$P$39)*1</f>
        <v>-13.84593575300415</v>
      </c>
      <c r="Q39" s="26">
        <f>('TE BE'!$R$39+'TE BF'!$R$39+'TE CVA'!$R$39)*1</f>
        <v>165.51049825050308</v>
      </c>
      <c r="R39" s="26">
        <f>('TE BE'!$T$39+'TE BF'!$T$39+'TE CVA'!$T$39)*1</f>
        <v>0</v>
      </c>
      <c r="S39" s="26">
        <f>('TE BE'!$U$39+'TE BF'!$U$39+'TE CVA'!$U$39)*1</f>
        <v>0</v>
      </c>
      <c r="T39" s="26">
        <f>('TE BE'!$V$39+'TE BF'!$V$39+'TE CVA'!$V$39)*1</f>
        <v>0</v>
      </c>
      <c r="U39" s="26">
        <f>('TE BE'!$X$39+'TE BF'!$X$39+'TE CVA'!$X$39)*1</f>
        <v>0</v>
      </c>
      <c r="V39" s="26">
        <f>('TE BE'!$Z$39+'TE BF'!$Z$39+'TE CVA'!$Z$39)*1</f>
        <v>6.6886546774371274</v>
      </c>
      <c r="X39" s="26">
        <v>0</v>
      </c>
      <c r="Y39" s="26">
        <v>4.4069744349768101</v>
      </c>
      <c r="Z39" s="26">
        <v>0</v>
      </c>
      <c r="AA39" s="26">
        <v>0</v>
      </c>
      <c r="AB39" s="26">
        <v>0</v>
      </c>
      <c r="AC39" s="26">
        <v>237.941422663818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</row>
    <row r="40" spans="1:34" ht="11.25" customHeight="1" x14ac:dyDescent="0.3">
      <c r="A40" s="103" t="s">
        <v>45</v>
      </c>
      <c r="B40" s="103" t="s">
        <v>86</v>
      </c>
      <c r="C40" s="103" t="s">
        <v>46</v>
      </c>
      <c r="D40" s="28" t="s">
        <v>47</v>
      </c>
      <c r="E40" s="28" t="s">
        <v>25</v>
      </c>
      <c r="F40" s="28" t="s">
        <v>25</v>
      </c>
      <c r="G40" s="29" t="s">
        <v>79</v>
      </c>
      <c r="H40" s="29" t="s">
        <v>72</v>
      </c>
      <c r="I40" s="29">
        <f>'MERCADO TE'!$U$37</f>
        <v>1210.0279999999998</v>
      </c>
      <c r="J40" s="15"/>
      <c r="L40" s="26">
        <f>('TE BE'!$L$40+'TE BF'!$L$40+'TE CVA'!$L$40)*1</f>
        <v>0</v>
      </c>
      <c r="M40" s="26">
        <f>('TE BE'!$M$40+'TE BF'!$M$40+'TE CVA'!$M$40)*1</f>
        <v>17.959863288521284</v>
      </c>
      <c r="N40" s="26">
        <f>('TE BE'!$N$40+'TE BF'!$N$40+'TE CVA'!$N$40)*1</f>
        <v>0</v>
      </c>
      <c r="O40" s="26">
        <f>('TE BE'!$O$40+'TE BF'!$O$40+'TE CVA'!$O$40)*1</f>
        <v>0</v>
      </c>
      <c r="P40" s="26">
        <f>('TE BE'!$P$40+'TE BF'!$P$40+'TE CVA'!$P$40)*1</f>
        <v>-7.6152646641522832</v>
      </c>
      <c r="Q40" s="26">
        <f>('TE BE'!$R$40+'TE BF'!$R$40+'TE CVA'!$R$40)*1</f>
        <v>91.030774037776695</v>
      </c>
      <c r="R40" s="26">
        <f>('TE BE'!$T$40+'TE BF'!$T$40+'TE CVA'!$T$40)*1</f>
        <v>0</v>
      </c>
      <c r="S40" s="26">
        <f>('TE BE'!$U$40+'TE BF'!$U$40+'TE CVA'!$U$40)*1</f>
        <v>0</v>
      </c>
      <c r="T40" s="26">
        <f>('TE BE'!$V$40+'TE BF'!$V$40+'TE CVA'!$V$40)*1</f>
        <v>0</v>
      </c>
      <c r="U40" s="26">
        <f>('TE BE'!$X$40+'TE BF'!$X$40+'TE CVA'!$X$40)*1</f>
        <v>0</v>
      </c>
      <c r="V40" s="26">
        <f>('TE BE'!$Z$40+'TE BF'!$Z$40+'TE CVA'!$Z$40)*1</f>
        <v>3.6787600725904204</v>
      </c>
      <c r="X40" s="26">
        <v>0</v>
      </c>
      <c r="Y40" s="26">
        <v>2.4238359392372502</v>
      </c>
      <c r="Z40" s="26">
        <v>0</v>
      </c>
      <c r="AA40" s="26">
        <v>0</v>
      </c>
      <c r="AB40" s="26">
        <v>0</v>
      </c>
      <c r="AC40" s="26">
        <v>130.86778246509999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</row>
    <row r="41" spans="1:34" ht="11.25" customHeight="1" x14ac:dyDescent="0.3">
      <c r="A41" s="103"/>
      <c r="B41" s="103"/>
      <c r="C41" s="103"/>
      <c r="D41" s="29" t="s">
        <v>91</v>
      </c>
      <c r="E41" s="29" t="s">
        <v>25</v>
      </c>
      <c r="F41" s="29" t="s">
        <v>25</v>
      </c>
      <c r="G41" s="29" t="s">
        <v>79</v>
      </c>
      <c r="H41" s="29" t="s">
        <v>72</v>
      </c>
      <c r="I41" s="29">
        <f>'MERCADO TE'!$U$38</f>
        <v>0</v>
      </c>
      <c r="J41" s="15"/>
      <c r="L41" s="26">
        <f>('TE BE'!$L$41+'TE BF'!$L$41+'TE CVA'!$L$41)*1</f>
        <v>0</v>
      </c>
      <c r="M41" s="26">
        <f>('TE BE'!$M$41+'TE BF'!$M$41+'TE CVA'!$M$41)*1</f>
        <v>19.59257813293231</v>
      </c>
      <c r="N41" s="26">
        <f>('TE BE'!$N$41+'TE BF'!$N$41+'TE CVA'!$N$41)*1</f>
        <v>0</v>
      </c>
      <c r="O41" s="26">
        <f>('TE BE'!$O$41+'TE BF'!$O$41+'TE CVA'!$O$41)*1</f>
        <v>0</v>
      </c>
      <c r="P41" s="26">
        <f>('TE BE'!$P$41+'TE BF'!$P$41+'TE CVA'!$P$41)*1</f>
        <v>-8.3075614518024903</v>
      </c>
      <c r="Q41" s="26">
        <f>('TE BE'!$R$41+'TE BF'!$R$41+'TE CVA'!$R$41)*1</f>
        <v>99.306298950301837</v>
      </c>
      <c r="R41" s="26">
        <f>('TE BE'!$T$41+'TE BF'!$T$41+'TE CVA'!$T$41)*1</f>
        <v>0</v>
      </c>
      <c r="S41" s="26">
        <f>('TE BE'!$U$41+'TE BF'!$U$41+'TE CVA'!$U$41)*1</f>
        <v>0</v>
      </c>
      <c r="T41" s="26">
        <f>('TE BE'!$V$41+'TE BF'!$V$41+'TE CVA'!$V$41)*1</f>
        <v>0</v>
      </c>
      <c r="U41" s="26">
        <f>('TE BE'!$X$41+'TE BF'!$X$41+'TE CVA'!$X$41)*1</f>
        <v>0</v>
      </c>
      <c r="V41" s="26">
        <f>('TE BE'!$Z$41+'TE BF'!$Z$41+'TE CVA'!$Z$41)*1</f>
        <v>4.0131928064622766</v>
      </c>
      <c r="X41" s="26">
        <v>0</v>
      </c>
      <c r="Y41" s="26">
        <v>2.64418466098609</v>
      </c>
      <c r="Z41" s="26">
        <v>0</v>
      </c>
      <c r="AA41" s="26">
        <v>0</v>
      </c>
      <c r="AB41" s="26">
        <v>0</v>
      </c>
      <c r="AC41" s="26">
        <v>142.76485359829101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3" spans="1:34" ht="11.25" customHeight="1" x14ac:dyDescent="0.3">
      <c r="L43" s="100" t="s">
        <v>895</v>
      </c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X43" s="100" t="s">
        <v>896</v>
      </c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</row>
    <row r="44" spans="1:34" ht="11.25" customHeight="1" x14ac:dyDescent="0.3">
      <c r="L44" s="100" t="s">
        <v>451</v>
      </c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X44" s="100" t="s">
        <v>451</v>
      </c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</row>
    <row r="45" spans="1:34" ht="11.25" customHeight="1" x14ac:dyDescent="0.3">
      <c r="L45" s="100" t="s">
        <v>424</v>
      </c>
      <c r="M45" s="100"/>
      <c r="N45" s="100"/>
      <c r="O45" s="100"/>
      <c r="P45" s="100"/>
      <c r="Q45" s="30" t="s">
        <v>455</v>
      </c>
      <c r="R45" s="100" t="s">
        <v>433</v>
      </c>
      <c r="S45" s="100"/>
      <c r="T45" s="100"/>
      <c r="U45" s="30" t="s">
        <v>443</v>
      </c>
      <c r="V45" s="30" t="s">
        <v>446</v>
      </c>
      <c r="X45" s="100" t="s">
        <v>424</v>
      </c>
      <c r="Y45" s="100"/>
      <c r="Z45" s="100"/>
      <c r="AA45" s="100"/>
      <c r="AB45" s="100"/>
      <c r="AC45" s="30" t="s">
        <v>455</v>
      </c>
      <c r="AD45" s="100" t="s">
        <v>433</v>
      </c>
      <c r="AE45" s="100"/>
      <c r="AF45" s="100"/>
      <c r="AG45" s="30" t="s">
        <v>443</v>
      </c>
      <c r="AH45" s="30" t="s">
        <v>446</v>
      </c>
    </row>
    <row r="46" spans="1:34" ht="11.25" customHeight="1" x14ac:dyDescent="0.3">
      <c r="L46" s="30" t="s">
        <v>426</v>
      </c>
      <c r="M46" s="30" t="s">
        <v>452</v>
      </c>
      <c r="N46" s="30" t="s">
        <v>453</v>
      </c>
      <c r="O46" s="30" t="s">
        <v>512</v>
      </c>
      <c r="P46" s="30" t="s">
        <v>454</v>
      </c>
      <c r="Q46" s="30" t="s">
        <v>456</v>
      </c>
      <c r="R46" s="30" t="s">
        <v>457</v>
      </c>
      <c r="S46" s="30" t="s">
        <v>458</v>
      </c>
      <c r="T46" s="30" t="s">
        <v>459</v>
      </c>
      <c r="U46" s="30" t="s">
        <v>444</v>
      </c>
      <c r="V46" s="30" t="s">
        <v>460</v>
      </c>
      <c r="X46" s="30" t="s">
        <v>426</v>
      </c>
      <c r="Y46" s="30" t="s">
        <v>452</v>
      </c>
      <c r="Z46" s="30" t="s">
        <v>453</v>
      </c>
      <c r="AA46" s="30" t="s">
        <v>512</v>
      </c>
      <c r="AB46" s="30" t="s">
        <v>454</v>
      </c>
      <c r="AC46" s="30" t="s">
        <v>456</v>
      </c>
      <c r="AD46" s="30" t="s">
        <v>457</v>
      </c>
      <c r="AE46" s="30" t="s">
        <v>458</v>
      </c>
      <c r="AF46" s="30" t="s">
        <v>459</v>
      </c>
      <c r="AG46" s="30" t="s">
        <v>444</v>
      </c>
      <c r="AH46" s="30" t="s">
        <v>460</v>
      </c>
    </row>
    <row r="47" spans="1:34" ht="11.25" customHeight="1" x14ac:dyDescent="0.3">
      <c r="A47" s="9" t="s">
        <v>35</v>
      </c>
      <c r="B47" s="9" t="s">
        <v>897</v>
      </c>
      <c r="C47" s="9" t="s">
        <v>898</v>
      </c>
      <c r="D47" s="9" t="s">
        <v>899</v>
      </c>
      <c r="E47" s="9" t="s">
        <v>900</v>
      </c>
      <c r="F47" s="9" t="s">
        <v>901</v>
      </c>
      <c r="G47" s="9" t="s">
        <v>902</v>
      </c>
      <c r="L47" s="26">
        <f>$I$5*$L$5</f>
        <v>0</v>
      </c>
      <c r="M47" s="26">
        <f>$I$5*$M$5</f>
        <v>50849.336422930763</v>
      </c>
      <c r="N47" s="26">
        <f>$I$5*$N$5</f>
        <v>0</v>
      </c>
      <c r="O47" s="26">
        <f>$I$5*$O$5</f>
        <v>0</v>
      </c>
      <c r="P47" s="26">
        <f>$I$5*$P$5</f>
        <v>-21560.918846449567</v>
      </c>
      <c r="Q47" s="26">
        <f>$I$5*$Q$5</f>
        <v>257733.2788966799</v>
      </c>
      <c r="R47" s="26">
        <f>$I$5*$R$5</f>
        <v>0</v>
      </c>
      <c r="S47" s="26">
        <f>$I$5*$S$5</f>
        <v>0</v>
      </c>
      <c r="T47" s="26">
        <f>$I$5*$T$5</f>
        <v>0</v>
      </c>
      <c r="U47" s="26">
        <f>$I$5*$U$5</f>
        <v>0</v>
      </c>
      <c r="V47" s="26">
        <f>$I$5*$V$5</f>
        <v>10415.58644101445</v>
      </c>
      <c r="X47" s="26">
        <f>$I$5*$X$5</f>
        <v>0</v>
      </c>
      <c r="Y47" s="26">
        <f>$I$5*$Y$5</f>
        <v>6862.5494040947588</v>
      </c>
      <c r="Z47" s="26">
        <f>$I$5*$Z$5</f>
        <v>0</v>
      </c>
      <c r="AA47" s="26">
        <f>$I$5*$AA$5</f>
        <v>0</v>
      </c>
      <c r="AB47" s="26">
        <f>$I$5*$AB$5</f>
        <v>0</v>
      </c>
      <c r="AC47" s="26">
        <f>$I$5*$AC$5</f>
        <v>370522.85925494274</v>
      </c>
      <c r="AD47" s="26">
        <f>$I$5*$AD$5</f>
        <v>0</v>
      </c>
      <c r="AE47" s="26">
        <f>$I$5*$AE$5</f>
        <v>0</v>
      </c>
      <c r="AF47" s="26">
        <f>$I$5*$AF$5</f>
        <v>0</v>
      </c>
      <c r="AG47" s="26">
        <f>$I$5*$AG$5</f>
        <v>0</v>
      </c>
      <c r="AH47" s="26">
        <f>$I$5*$AH$5</f>
        <v>0</v>
      </c>
    </row>
    <row r="48" spans="1:34" ht="11.25" customHeight="1" x14ac:dyDescent="0.3">
      <c r="A48" s="9" t="s">
        <v>35</v>
      </c>
      <c r="B48" s="9" t="s">
        <v>897</v>
      </c>
      <c r="C48" s="9" t="s">
        <v>898</v>
      </c>
      <c r="D48" s="9" t="s">
        <v>899</v>
      </c>
      <c r="E48" s="9" t="s">
        <v>900</v>
      </c>
      <c r="F48" s="9" t="s">
        <v>901</v>
      </c>
      <c r="G48" s="9" t="s">
        <v>903</v>
      </c>
      <c r="L48" s="26">
        <f>$I$6*$L$6</f>
        <v>0</v>
      </c>
      <c r="M48" s="26">
        <f>$I$6*$M$6</f>
        <v>765007.69133706705</v>
      </c>
      <c r="N48" s="26">
        <f>$I$6*$N$6</f>
        <v>0</v>
      </c>
      <c r="O48" s="26">
        <f>$I$6*$O$6</f>
        <v>0</v>
      </c>
      <c r="P48" s="26">
        <f>$I$6*$P$6</f>
        <v>-324375.29985917517</v>
      </c>
      <c r="Q48" s="26">
        <f>$I$6*$Q$6</f>
        <v>3877492.8944907067</v>
      </c>
      <c r="R48" s="26">
        <f>$I$6*$R$6</f>
        <v>0</v>
      </c>
      <c r="S48" s="26">
        <f>$I$6*$S$6</f>
        <v>0</v>
      </c>
      <c r="T48" s="26">
        <f>$I$6*$T$6</f>
        <v>0</v>
      </c>
      <c r="U48" s="26">
        <f>$I$6*$U$6</f>
        <v>0</v>
      </c>
      <c r="V48" s="26">
        <f>$I$6*$V$6</f>
        <v>156698.2835506367</v>
      </c>
      <c r="X48" s="26">
        <f>$I$6*$X$6</f>
        <v>0</v>
      </c>
      <c r="Y48" s="26">
        <f>$I$6*$Y$6</f>
        <v>103244.27899408391</v>
      </c>
      <c r="Z48" s="26">
        <f>$I$6*$Z$6</f>
        <v>0</v>
      </c>
      <c r="AA48" s="26">
        <f>$I$6*$AA$6</f>
        <v>0</v>
      </c>
      <c r="AB48" s="26">
        <f>$I$6*$AB$6</f>
        <v>0</v>
      </c>
      <c r="AC48" s="26">
        <f>$I$6*$AC$6</f>
        <v>5574366.4929796075</v>
      </c>
      <c r="AD48" s="26">
        <f>$I$6*$AD$6</f>
        <v>0</v>
      </c>
      <c r="AE48" s="26">
        <f>$I$6*$AE$6</f>
        <v>0</v>
      </c>
      <c r="AF48" s="26">
        <f>$I$6*$AF$6</f>
        <v>0</v>
      </c>
      <c r="AG48" s="26">
        <f>$I$6*$AG$6</f>
        <v>0</v>
      </c>
      <c r="AH48" s="26">
        <f>$I$6*$AH$6</f>
        <v>0</v>
      </c>
    </row>
    <row r="49" spans="1:34" ht="11.25" customHeight="1" x14ac:dyDescent="0.3">
      <c r="A49" s="9" t="s">
        <v>22</v>
      </c>
      <c r="B49" s="9" t="s">
        <v>904</v>
      </c>
      <c r="C49" s="9" t="s">
        <v>905</v>
      </c>
      <c r="D49" s="9" t="s">
        <v>906</v>
      </c>
      <c r="E49" s="9" t="s">
        <v>907</v>
      </c>
      <c r="F49" s="9" t="s">
        <v>908</v>
      </c>
      <c r="G49" s="9" t="s">
        <v>909</v>
      </c>
      <c r="L49" s="26">
        <f>$I$7*$L$7</f>
        <v>0</v>
      </c>
      <c r="M49" s="26">
        <f>$I$7*$M$7</f>
        <v>0</v>
      </c>
      <c r="N49" s="26">
        <f>$I$7*$N$7</f>
        <v>0</v>
      </c>
      <c r="O49" s="26">
        <f>$I$7*$O$7</f>
        <v>0</v>
      </c>
      <c r="P49" s="26">
        <f>$I$7*$P$7</f>
        <v>0</v>
      </c>
      <c r="Q49" s="26">
        <f>$I$7*$Q$7</f>
        <v>0</v>
      </c>
      <c r="R49" s="26">
        <f>$I$7*$R$7</f>
        <v>0</v>
      </c>
      <c r="S49" s="26">
        <f>$I$7*$S$7</f>
        <v>0</v>
      </c>
      <c r="T49" s="26">
        <f>$I$7*$T$7</f>
        <v>0</v>
      </c>
      <c r="U49" s="26">
        <f>$I$7*$U$7</f>
        <v>0</v>
      </c>
      <c r="V49" s="26">
        <f>$I$7*$V$7</f>
        <v>0</v>
      </c>
      <c r="X49" s="26">
        <f>$I$7*$X$7</f>
        <v>0</v>
      </c>
      <c r="Y49" s="26">
        <f>$I$7*$Y$7</f>
        <v>0</v>
      </c>
      <c r="Z49" s="26">
        <f>$I$7*$Z$7</f>
        <v>0</v>
      </c>
      <c r="AA49" s="26">
        <f>$I$7*$AA$7</f>
        <v>0</v>
      </c>
      <c r="AB49" s="26">
        <f>$I$7*$AB$7</f>
        <v>0</v>
      </c>
      <c r="AC49" s="26">
        <f>$I$7*$AC$7</f>
        <v>0</v>
      </c>
      <c r="AD49" s="26">
        <f>$I$7*$AD$7</f>
        <v>0</v>
      </c>
      <c r="AE49" s="26">
        <f>$I$7*$AE$7</f>
        <v>0</v>
      </c>
      <c r="AF49" s="26">
        <f>$I$7*$AF$7</f>
        <v>0</v>
      </c>
      <c r="AG49" s="26">
        <f>$I$7*$AG$7</f>
        <v>0</v>
      </c>
      <c r="AH49" s="26">
        <f>$I$7*$AH$7</f>
        <v>0</v>
      </c>
    </row>
    <row r="50" spans="1:34" ht="11.25" customHeight="1" x14ac:dyDescent="0.3">
      <c r="A50" s="9" t="s">
        <v>22</v>
      </c>
      <c r="B50" s="9" t="s">
        <v>904</v>
      </c>
      <c r="C50" s="9" t="s">
        <v>905</v>
      </c>
      <c r="D50" s="9" t="s">
        <v>906</v>
      </c>
      <c r="E50" s="9" t="s">
        <v>907</v>
      </c>
      <c r="F50" s="9" t="s">
        <v>908</v>
      </c>
      <c r="G50" s="9" t="s">
        <v>910</v>
      </c>
      <c r="L50" s="26">
        <f>$I$8*$L$8</f>
        <v>0</v>
      </c>
      <c r="M50" s="26">
        <f>$I$8*$M$8</f>
        <v>0</v>
      </c>
      <c r="N50" s="26">
        <f>$I$8*$N$8</f>
        <v>0</v>
      </c>
      <c r="O50" s="26">
        <f>$I$8*$O$8</f>
        <v>0</v>
      </c>
      <c r="P50" s="26">
        <f>$I$8*$P$8</f>
        <v>0</v>
      </c>
      <c r="Q50" s="26">
        <f>$I$8*$Q$8</f>
        <v>0</v>
      </c>
      <c r="R50" s="26">
        <f>$I$8*$R$8</f>
        <v>0</v>
      </c>
      <c r="S50" s="26">
        <f>$I$8*$S$8</f>
        <v>0</v>
      </c>
      <c r="T50" s="26">
        <f>$I$8*$T$8</f>
        <v>0</v>
      </c>
      <c r="U50" s="26">
        <f>$I$8*$U$8</f>
        <v>0</v>
      </c>
      <c r="V50" s="26">
        <f>$I$8*$V$8</f>
        <v>0</v>
      </c>
      <c r="X50" s="26">
        <f>$I$8*$X$8</f>
        <v>0</v>
      </c>
      <c r="Y50" s="26">
        <f>$I$8*$Y$8</f>
        <v>0</v>
      </c>
      <c r="Z50" s="26">
        <f>$I$8*$Z$8</f>
        <v>0</v>
      </c>
      <c r="AA50" s="26">
        <f>$I$8*$AA$8</f>
        <v>0</v>
      </c>
      <c r="AB50" s="26">
        <f>$I$8*$AB$8</f>
        <v>0</v>
      </c>
      <c r="AC50" s="26">
        <f>$I$8*$AC$8</f>
        <v>0</v>
      </c>
      <c r="AD50" s="26">
        <f>$I$8*$AD$8</f>
        <v>0</v>
      </c>
      <c r="AE50" s="26">
        <f>$I$8*$AE$8</f>
        <v>0</v>
      </c>
      <c r="AF50" s="26">
        <f>$I$8*$AF$8</f>
        <v>0</v>
      </c>
      <c r="AG50" s="26">
        <f>$I$8*$AG$8</f>
        <v>0</v>
      </c>
      <c r="AH50" s="26">
        <f>$I$8*$AH$8</f>
        <v>0</v>
      </c>
    </row>
    <row r="51" spans="1:34" ht="11.25" customHeight="1" x14ac:dyDescent="0.3">
      <c r="A51" s="9" t="s">
        <v>22</v>
      </c>
      <c r="B51" s="9" t="s">
        <v>904</v>
      </c>
      <c r="C51" s="9" t="s">
        <v>905</v>
      </c>
      <c r="D51" s="9" t="s">
        <v>906</v>
      </c>
      <c r="E51" s="9" t="s">
        <v>907</v>
      </c>
      <c r="F51" s="9" t="s">
        <v>908</v>
      </c>
      <c r="G51" s="9" t="s">
        <v>911</v>
      </c>
      <c r="L51" s="26">
        <f>$I$9*$L$9</f>
        <v>0</v>
      </c>
      <c r="M51" s="26">
        <f>$I$9*$M$9</f>
        <v>0</v>
      </c>
      <c r="N51" s="26">
        <f>$I$9*$N$9</f>
        <v>0</v>
      </c>
      <c r="O51" s="26">
        <f>$I$9*$O$9</f>
        <v>0</v>
      </c>
      <c r="P51" s="26">
        <f>$I$9*$P$9</f>
        <v>0</v>
      </c>
      <c r="Q51" s="26">
        <f>$I$9*$Q$9</f>
        <v>0</v>
      </c>
      <c r="R51" s="26">
        <f>$I$9*$R$9</f>
        <v>0</v>
      </c>
      <c r="S51" s="26">
        <f>$I$9*$S$9</f>
        <v>0</v>
      </c>
      <c r="T51" s="26">
        <f>$I$9*$T$9</f>
        <v>0</v>
      </c>
      <c r="U51" s="26">
        <f>$I$9*$U$9</f>
        <v>0</v>
      </c>
      <c r="V51" s="26">
        <f>$I$9*$V$9</f>
        <v>0</v>
      </c>
      <c r="X51" s="26">
        <f>$I$9*$X$9</f>
        <v>0</v>
      </c>
      <c r="Y51" s="26">
        <f>$I$9*$Y$9</f>
        <v>0</v>
      </c>
      <c r="Z51" s="26">
        <f>$I$9*$Z$9</f>
        <v>0</v>
      </c>
      <c r="AA51" s="26">
        <f>$I$9*$AA$9</f>
        <v>0</v>
      </c>
      <c r="AB51" s="26">
        <f>$I$9*$AB$9</f>
        <v>0</v>
      </c>
      <c r="AC51" s="26">
        <f>$I$9*$AC$9</f>
        <v>0</v>
      </c>
      <c r="AD51" s="26">
        <f>$I$9*$AD$9</f>
        <v>0</v>
      </c>
      <c r="AE51" s="26">
        <f>$I$9*$AE$9</f>
        <v>0</v>
      </c>
      <c r="AF51" s="26">
        <f>$I$9*$AF$9</f>
        <v>0</v>
      </c>
      <c r="AG51" s="26">
        <f>$I$9*$AG$9</f>
        <v>0</v>
      </c>
      <c r="AH51" s="26">
        <f>$I$9*$AH$9</f>
        <v>0</v>
      </c>
    </row>
    <row r="52" spans="1:34" ht="11.25" customHeight="1" x14ac:dyDescent="0.3">
      <c r="A52" s="9" t="s">
        <v>22</v>
      </c>
      <c r="B52" s="9" t="s">
        <v>912</v>
      </c>
      <c r="C52" s="9" t="s">
        <v>913</v>
      </c>
      <c r="D52" s="9" t="s">
        <v>914</v>
      </c>
      <c r="E52" s="9" t="s">
        <v>915</v>
      </c>
      <c r="F52" s="9" t="s">
        <v>916</v>
      </c>
      <c r="G52" s="9" t="s">
        <v>917</v>
      </c>
      <c r="L52" s="26">
        <f>$I$10*$L$10</f>
        <v>0</v>
      </c>
      <c r="M52" s="26">
        <f>$I$10*$M$10</f>
        <v>193112.05852935577</v>
      </c>
      <c r="N52" s="26">
        <f>$I$10*$N$10</f>
        <v>0</v>
      </c>
      <c r="O52" s="26">
        <f>$I$10*$O$10</f>
        <v>0</v>
      </c>
      <c r="P52" s="26">
        <f>$I$10*$P$10</f>
        <v>-81882.551771995786</v>
      </c>
      <c r="Q52" s="26">
        <f>$I$10*$Q$10</f>
        <v>978801.4464002673</v>
      </c>
      <c r="R52" s="26">
        <f>$I$10*$R$10</f>
        <v>0</v>
      </c>
      <c r="S52" s="26">
        <f>$I$10*$S$10</f>
        <v>0</v>
      </c>
      <c r="T52" s="26">
        <f>$I$10*$T$10</f>
        <v>0</v>
      </c>
      <c r="U52" s="26">
        <f>$I$10*$U$10</f>
        <v>0</v>
      </c>
      <c r="V52" s="26">
        <f>$I$10*$V$10</f>
        <v>39555.586757032033</v>
      </c>
      <c r="X52" s="26">
        <f>$I$10*$X$10</f>
        <v>0</v>
      </c>
      <c r="Y52" s="26">
        <f>$I$10*$Y$10</f>
        <v>26062.110843722214</v>
      </c>
      <c r="Z52" s="26">
        <f>$I$10*$Z$10</f>
        <v>0</v>
      </c>
      <c r="AA52" s="26">
        <f>$I$10*$AA$10</f>
        <v>0</v>
      </c>
      <c r="AB52" s="26">
        <f>$I$10*$AB$10</f>
        <v>0</v>
      </c>
      <c r="AC52" s="26">
        <f>$I$10*$AC$10</f>
        <v>1407145.8374162347</v>
      </c>
      <c r="AD52" s="26">
        <f>$I$10*$AD$10</f>
        <v>0</v>
      </c>
      <c r="AE52" s="26">
        <f>$I$10*$AE$10</f>
        <v>0</v>
      </c>
      <c r="AF52" s="26">
        <f>$I$10*$AF$10</f>
        <v>0</v>
      </c>
      <c r="AG52" s="26">
        <f>$I$10*$AG$10</f>
        <v>0</v>
      </c>
      <c r="AH52" s="26">
        <f>$I$10*$AH$10</f>
        <v>0</v>
      </c>
    </row>
    <row r="53" spans="1:34" ht="11.25" customHeight="1" x14ac:dyDescent="0.3">
      <c r="A53" s="9" t="s">
        <v>22</v>
      </c>
      <c r="B53" s="9" t="s">
        <v>912</v>
      </c>
      <c r="C53" s="9" t="s">
        <v>913</v>
      </c>
      <c r="D53" s="9" t="s">
        <v>918</v>
      </c>
      <c r="E53" s="9" t="s">
        <v>919</v>
      </c>
      <c r="F53" s="9" t="s">
        <v>920</v>
      </c>
      <c r="G53" s="9" t="s">
        <v>921</v>
      </c>
      <c r="L53" s="26">
        <f>$I$11*$L$11</f>
        <v>0</v>
      </c>
      <c r="M53" s="26">
        <f>$I$11*$M$11</f>
        <v>898.65114850836187</v>
      </c>
      <c r="N53" s="26">
        <f>$I$11*$N$11</f>
        <v>0</v>
      </c>
      <c r="O53" s="26">
        <f>$I$11*$O$11</f>
        <v>0</v>
      </c>
      <c r="P53" s="26">
        <f>$I$11*$P$11</f>
        <v>-381.04222881303718</v>
      </c>
      <c r="Q53" s="26">
        <f>$I$11*$Q$11</f>
        <v>4554.8737384285823</v>
      </c>
      <c r="R53" s="26">
        <f>$I$11*$R$11</f>
        <v>0</v>
      </c>
      <c r="S53" s="26">
        <f>$I$11*$S$11</f>
        <v>0</v>
      </c>
      <c r="T53" s="26">
        <f>$I$11*$T$11</f>
        <v>0</v>
      </c>
      <c r="U53" s="26">
        <f>$I$11*$U$11</f>
        <v>0</v>
      </c>
      <c r="V53" s="26">
        <f>$I$11*$V$11</f>
        <v>184.07278002127137</v>
      </c>
      <c r="X53" s="26">
        <f>$I$11*$X$11</f>
        <v>0</v>
      </c>
      <c r="Y53" s="26">
        <f>$I$11*$Y$11</f>
        <v>121.2805974967268</v>
      </c>
      <c r="Z53" s="26">
        <f>$I$11*$Z$11</f>
        <v>0</v>
      </c>
      <c r="AA53" s="26">
        <f>$I$11*$AA$11</f>
        <v>0</v>
      </c>
      <c r="AB53" s="26">
        <f>$I$11*$AB$11</f>
        <v>0</v>
      </c>
      <c r="AC53" s="26">
        <f>$I$11*$AC$11</f>
        <v>6548.1836429216864</v>
      </c>
      <c r="AD53" s="26">
        <f>$I$11*$AD$11</f>
        <v>0</v>
      </c>
      <c r="AE53" s="26">
        <f>$I$11*$AE$11</f>
        <v>0</v>
      </c>
      <c r="AF53" s="26">
        <f>$I$11*$AF$11</f>
        <v>0</v>
      </c>
      <c r="AG53" s="26">
        <f>$I$11*$AG$11</f>
        <v>0</v>
      </c>
      <c r="AH53" s="26">
        <f>$I$11*$AH$11</f>
        <v>0</v>
      </c>
    </row>
    <row r="54" spans="1:34" ht="11.25" customHeight="1" x14ac:dyDescent="0.3">
      <c r="A54" s="9" t="s">
        <v>22</v>
      </c>
      <c r="B54" s="9" t="s">
        <v>912</v>
      </c>
      <c r="C54" s="9" t="s">
        <v>913</v>
      </c>
      <c r="D54" s="9" t="s">
        <v>922</v>
      </c>
      <c r="E54" s="9" t="s">
        <v>923</v>
      </c>
      <c r="F54" s="9" t="s">
        <v>924</v>
      </c>
      <c r="G54" s="9" t="s">
        <v>925</v>
      </c>
      <c r="L54" s="26">
        <f>$I$12*$L$12</f>
        <v>0</v>
      </c>
      <c r="M54" s="26">
        <f>$I$12*$M$12</f>
        <v>3132.2458735337555</v>
      </c>
      <c r="N54" s="26">
        <f>$I$12*$N$12</f>
        <v>0</v>
      </c>
      <c r="O54" s="26">
        <f>$I$12*$O$12</f>
        <v>0</v>
      </c>
      <c r="P54" s="26">
        <f>$I$12*$P$12</f>
        <v>-1328.1215417382125</v>
      </c>
      <c r="Q54" s="26">
        <f>$I$12*$Q$12</f>
        <v>15875.998706885806</v>
      </c>
      <c r="R54" s="26">
        <f>$I$12*$R$12</f>
        <v>0</v>
      </c>
      <c r="S54" s="26">
        <f>$I$12*$S$12</f>
        <v>0</v>
      </c>
      <c r="T54" s="26">
        <f>$I$12*$T$12</f>
        <v>0</v>
      </c>
      <c r="U54" s="26">
        <f>$I$12*$U$12</f>
        <v>0</v>
      </c>
      <c r="V54" s="26">
        <f>$I$12*$V$12</f>
        <v>641.58512077631781</v>
      </c>
      <c r="X54" s="26">
        <f>$I$12*$X$12</f>
        <v>0</v>
      </c>
      <c r="Y54" s="26">
        <f>$I$12*$Y$12</f>
        <v>422.7231575671853</v>
      </c>
      <c r="Z54" s="26">
        <f>$I$12*$Z$12</f>
        <v>0</v>
      </c>
      <c r="AA54" s="26">
        <f>$I$12*$AA$12</f>
        <v>0</v>
      </c>
      <c r="AB54" s="26">
        <f>$I$12*$AB$12</f>
        <v>0</v>
      </c>
      <c r="AC54" s="26">
        <f>$I$12*$AC$12</f>
        <v>22823.674379905191</v>
      </c>
      <c r="AD54" s="26">
        <f>$I$12*$AD$12</f>
        <v>0</v>
      </c>
      <c r="AE54" s="26">
        <f>$I$12*$AE$12</f>
        <v>0</v>
      </c>
      <c r="AF54" s="26">
        <f>$I$12*$AF$12</f>
        <v>0</v>
      </c>
      <c r="AG54" s="26">
        <f>$I$12*$AG$12</f>
        <v>0</v>
      </c>
      <c r="AH54" s="26">
        <f>$I$12*$AH$12</f>
        <v>0</v>
      </c>
    </row>
    <row r="55" spans="1:34" ht="11.25" customHeight="1" x14ac:dyDescent="0.3">
      <c r="A55" s="9" t="s">
        <v>22</v>
      </c>
      <c r="B55" s="9" t="s">
        <v>912</v>
      </c>
      <c r="C55" s="9" t="s">
        <v>913</v>
      </c>
      <c r="D55" s="9" t="s">
        <v>926</v>
      </c>
      <c r="E55" s="9" t="s">
        <v>927</v>
      </c>
      <c r="F55" s="9" t="s">
        <v>928</v>
      </c>
      <c r="G55" s="9" t="s">
        <v>929</v>
      </c>
      <c r="L55" s="26">
        <f>$I$13*$L$13</f>
        <v>0</v>
      </c>
      <c r="M55" s="26">
        <f>$I$13*$M$13</f>
        <v>4406.5373590106065</v>
      </c>
      <c r="N55" s="26">
        <f>$I$13*$N$13</f>
        <v>0</v>
      </c>
      <c r="O55" s="26">
        <f>$I$13*$O$13</f>
        <v>0</v>
      </c>
      <c r="P55" s="26">
        <f>$I$13*$P$13</f>
        <v>-1868.4411847827205</v>
      </c>
      <c r="Q55" s="26">
        <f>$I$13*$Q$13</f>
        <v>22334.830737463963</v>
      </c>
      <c r="R55" s="26">
        <f>$I$13*$R$13</f>
        <v>0</v>
      </c>
      <c r="S55" s="26">
        <f>$I$13*$S$13</f>
        <v>0</v>
      </c>
      <c r="T55" s="26">
        <f>$I$13*$T$13</f>
        <v>0</v>
      </c>
      <c r="U55" s="26">
        <f>$I$13*$U$13</f>
        <v>0</v>
      </c>
      <c r="V55" s="26">
        <f>$I$13*$V$13</f>
        <v>902.60117431222091</v>
      </c>
      <c r="X55" s="26">
        <f>$I$13*$X$13</f>
        <v>0</v>
      </c>
      <c r="Y55" s="26">
        <f>$I$13*$Y$13</f>
        <v>594.6996058253892</v>
      </c>
      <c r="Z55" s="26">
        <f>$I$13*$Z$13</f>
        <v>0</v>
      </c>
      <c r="AA55" s="26">
        <f>$I$13*$AA$13</f>
        <v>0</v>
      </c>
      <c r="AB55" s="26">
        <f>$I$13*$AB$13</f>
        <v>0</v>
      </c>
      <c r="AC55" s="26">
        <f>$I$13*$AC$13</f>
        <v>32109.029075511302</v>
      </c>
      <c r="AD55" s="26">
        <f>$I$13*$AD$13</f>
        <v>0</v>
      </c>
      <c r="AE55" s="26">
        <f>$I$13*$AE$13</f>
        <v>0</v>
      </c>
      <c r="AF55" s="26">
        <f>$I$13*$AF$13</f>
        <v>0</v>
      </c>
      <c r="AG55" s="26">
        <f>$I$13*$AG$13</f>
        <v>0</v>
      </c>
      <c r="AH55" s="26">
        <f>$I$13*$AH$13</f>
        <v>0</v>
      </c>
    </row>
    <row r="56" spans="1:34" ht="11.25" customHeight="1" x14ac:dyDescent="0.3">
      <c r="A56" s="9" t="s">
        <v>22</v>
      </c>
      <c r="B56" s="9" t="s">
        <v>912</v>
      </c>
      <c r="C56" s="9" t="s">
        <v>913</v>
      </c>
      <c r="D56" s="9" t="s">
        <v>930</v>
      </c>
      <c r="E56" s="9" t="s">
        <v>931</v>
      </c>
      <c r="F56" s="9" t="s">
        <v>932</v>
      </c>
      <c r="G56" s="9" t="s">
        <v>933</v>
      </c>
      <c r="L56" s="26">
        <f>$I$14*$L$14</f>
        <v>0</v>
      </c>
      <c r="M56" s="26">
        <f>$I$14*$M$14</f>
        <v>1643.4581080872504</v>
      </c>
      <c r="N56" s="26">
        <f>$I$14*$N$14</f>
        <v>0</v>
      </c>
      <c r="O56" s="26">
        <f>$I$14*$O$14</f>
        <v>0</v>
      </c>
      <c r="P56" s="26">
        <f>$I$14*$P$14</f>
        <v>-696.85210051294587</v>
      </c>
      <c r="Q56" s="26">
        <f>$I$14*$Q$14</f>
        <v>8329.9778664495698</v>
      </c>
      <c r="R56" s="26">
        <f>$I$14*$R$14</f>
        <v>0</v>
      </c>
      <c r="S56" s="26">
        <f>$I$14*$S$14</f>
        <v>0</v>
      </c>
      <c r="T56" s="26">
        <f>$I$14*$T$14</f>
        <v>0</v>
      </c>
      <c r="U56" s="26">
        <f>$I$14*$U$14</f>
        <v>0</v>
      </c>
      <c r="V56" s="26">
        <f>$I$14*$V$14</f>
        <v>336.63330126073316</v>
      </c>
      <c r="X56" s="26">
        <f>$I$14*$X$14</f>
        <v>0</v>
      </c>
      <c r="Y56" s="26">
        <f>$I$14*$Y$14</f>
        <v>221.79861633794789</v>
      </c>
      <c r="Z56" s="26">
        <f>$I$14*$Z$14</f>
        <v>0</v>
      </c>
      <c r="AA56" s="26">
        <f>$I$14*$AA$14</f>
        <v>0</v>
      </c>
      <c r="AB56" s="26">
        <f>$I$14*$AB$14</f>
        <v>0</v>
      </c>
      <c r="AC56" s="26">
        <f>$I$14*$AC$14</f>
        <v>11975.353861247297</v>
      </c>
      <c r="AD56" s="26">
        <f>$I$14*$AD$14</f>
        <v>0</v>
      </c>
      <c r="AE56" s="26">
        <f>$I$14*$AE$14</f>
        <v>0</v>
      </c>
      <c r="AF56" s="26">
        <f>$I$14*$AF$14</f>
        <v>0</v>
      </c>
      <c r="AG56" s="26">
        <f>$I$14*$AG$14</f>
        <v>0</v>
      </c>
      <c r="AH56" s="26">
        <f>$I$14*$AH$14</f>
        <v>0</v>
      </c>
    </row>
    <row r="57" spans="1:34" ht="11.25" customHeight="1" x14ac:dyDescent="0.3">
      <c r="A57" s="9" t="s">
        <v>22</v>
      </c>
      <c r="B57" s="9" t="s">
        <v>934</v>
      </c>
      <c r="C57" s="9" t="s">
        <v>935</v>
      </c>
      <c r="D57" s="9" t="s">
        <v>936</v>
      </c>
      <c r="E57" s="9" t="s">
        <v>937</v>
      </c>
      <c r="F57" s="9" t="s">
        <v>938</v>
      </c>
      <c r="G57" s="9" t="s">
        <v>939</v>
      </c>
      <c r="L57" s="26">
        <f>$I$15*$L$15</f>
        <v>0</v>
      </c>
      <c r="M57" s="26">
        <f>$I$15*$M$15</f>
        <v>0</v>
      </c>
      <c r="N57" s="26">
        <f>$I$15*$N$15</f>
        <v>0</v>
      </c>
      <c r="O57" s="26">
        <f>$I$15*$O$15</f>
        <v>0</v>
      </c>
      <c r="P57" s="26">
        <f>$I$15*$P$15</f>
        <v>0</v>
      </c>
      <c r="Q57" s="26">
        <f>$I$15*$Q$15</f>
        <v>0</v>
      </c>
      <c r="R57" s="26">
        <f>$I$15*$R$15</f>
        <v>0</v>
      </c>
      <c r="S57" s="26">
        <f>$I$15*$S$15</f>
        <v>0</v>
      </c>
      <c r="T57" s="26">
        <f>$I$15*$T$15</f>
        <v>0</v>
      </c>
      <c r="U57" s="26">
        <f>$I$15*$U$15</f>
        <v>0</v>
      </c>
      <c r="V57" s="26">
        <f>$I$15*$V$15</f>
        <v>0</v>
      </c>
      <c r="X57" s="26">
        <f>$I$15*$X$15</f>
        <v>0</v>
      </c>
      <c r="Y57" s="26">
        <f>$I$15*$Y$15</f>
        <v>0</v>
      </c>
      <c r="Z57" s="26">
        <f>$I$15*$Z$15</f>
        <v>0</v>
      </c>
      <c r="AA57" s="26">
        <f>$I$15*$AA$15</f>
        <v>0</v>
      </c>
      <c r="AB57" s="26">
        <f>$I$15*$AB$15</f>
        <v>0</v>
      </c>
      <c r="AC57" s="26">
        <f>$I$15*$AC$15</f>
        <v>0</v>
      </c>
      <c r="AD57" s="26">
        <f>$I$15*$AD$15</f>
        <v>0</v>
      </c>
      <c r="AE57" s="26">
        <f>$I$15*$AE$15</f>
        <v>0</v>
      </c>
      <c r="AF57" s="26">
        <f>$I$15*$AF$15</f>
        <v>0</v>
      </c>
      <c r="AG57" s="26">
        <f>$I$15*$AG$15</f>
        <v>0</v>
      </c>
      <c r="AH57" s="26">
        <f>$I$15*$AH$15</f>
        <v>0</v>
      </c>
    </row>
    <row r="58" spans="1:34" ht="11.25" customHeight="1" x14ac:dyDescent="0.3">
      <c r="A58" s="9" t="s">
        <v>22</v>
      </c>
      <c r="B58" s="9" t="s">
        <v>934</v>
      </c>
      <c r="C58" s="9" t="s">
        <v>935</v>
      </c>
      <c r="D58" s="9" t="s">
        <v>940</v>
      </c>
      <c r="E58" s="9" t="s">
        <v>941</v>
      </c>
      <c r="F58" s="9" t="s">
        <v>942</v>
      </c>
      <c r="G58" s="9" t="s">
        <v>943</v>
      </c>
      <c r="L58" s="26">
        <f>$I$16*$L$16</f>
        <v>0</v>
      </c>
      <c r="M58" s="26">
        <f>$I$16*$M$16</f>
        <v>0</v>
      </c>
      <c r="N58" s="26">
        <f>$I$16*$N$16</f>
        <v>0</v>
      </c>
      <c r="O58" s="26">
        <f>$I$16*$O$16</f>
        <v>0</v>
      </c>
      <c r="P58" s="26">
        <f>$I$16*$P$16</f>
        <v>0</v>
      </c>
      <c r="Q58" s="26">
        <f>$I$16*$Q$16</f>
        <v>0</v>
      </c>
      <c r="R58" s="26">
        <f>$I$16*$R$16</f>
        <v>0</v>
      </c>
      <c r="S58" s="26">
        <f>$I$16*$S$16</f>
        <v>0</v>
      </c>
      <c r="T58" s="26">
        <f>$I$16*$T$16</f>
        <v>0</v>
      </c>
      <c r="U58" s="26">
        <f>$I$16*$U$16</f>
        <v>0</v>
      </c>
      <c r="V58" s="26">
        <f>$I$16*$V$16</f>
        <v>0</v>
      </c>
      <c r="X58" s="26">
        <f>$I$16*$X$16</f>
        <v>0</v>
      </c>
      <c r="Y58" s="26">
        <f>$I$16*$Y$16</f>
        <v>0</v>
      </c>
      <c r="Z58" s="26">
        <f>$I$16*$Z$16</f>
        <v>0</v>
      </c>
      <c r="AA58" s="26">
        <f>$I$16*$AA$16</f>
        <v>0</v>
      </c>
      <c r="AB58" s="26">
        <f>$I$16*$AB$16</f>
        <v>0</v>
      </c>
      <c r="AC58" s="26">
        <f>$I$16*$AC$16</f>
        <v>0</v>
      </c>
      <c r="AD58" s="26">
        <f>$I$16*$AD$16</f>
        <v>0</v>
      </c>
      <c r="AE58" s="26">
        <f>$I$16*$AE$16</f>
        <v>0</v>
      </c>
      <c r="AF58" s="26">
        <f>$I$16*$AF$16</f>
        <v>0</v>
      </c>
      <c r="AG58" s="26">
        <f>$I$16*$AG$16</f>
        <v>0</v>
      </c>
      <c r="AH58" s="26">
        <f>$I$16*$AH$16</f>
        <v>0</v>
      </c>
    </row>
    <row r="59" spans="1:34" ht="11.25" customHeight="1" x14ac:dyDescent="0.3">
      <c r="A59" s="9" t="s">
        <v>22</v>
      </c>
      <c r="B59" s="9" t="s">
        <v>934</v>
      </c>
      <c r="C59" s="9" t="s">
        <v>935</v>
      </c>
      <c r="D59" s="9" t="s">
        <v>944</v>
      </c>
      <c r="E59" s="9" t="s">
        <v>945</v>
      </c>
      <c r="F59" s="9" t="s">
        <v>946</v>
      </c>
      <c r="G59" s="9" t="s">
        <v>947</v>
      </c>
      <c r="L59" s="26">
        <f>$I$17*$L$17</f>
        <v>0</v>
      </c>
      <c r="M59" s="26">
        <f>$I$17*$M$17</f>
        <v>0</v>
      </c>
      <c r="N59" s="26">
        <f>$I$17*$N$17</f>
        <v>0</v>
      </c>
      <c r="O59" s="26">
        <f>$I$17*$O$17</f>
        <v>0</v>
      </c>
      <c r="P59" s="26">
        <f>$I$17*$P$17</f>
        <v>0</v>
      </c>
      <c r="Q59" s="26">
        <f>$I$17*$Q$17</f>
        <v>0</v>
      </c>
      <c r="R59" s="26">
        <f>$I$17*$R$17</f>
        <v>0</v>
      </c>
      <c r="S59" s="26">
        <f>$I$17*$S$17</f>
        <v>0</v>
      </c>
      <c r="T59" s="26">
        <f>$I$17*$T$17</f>
        <v>0</v>
      </c>
      <c r="U59" s="26">
        <f>$I$17*$U$17</f>
        <v>0</v>
      </c>
      <c r="V59" s="26">
        <f>$I$17*$V$17</f>
        <v>0</v>
      </c>
      <c r="X59" s="26">
        <f>$I$17*$X$17</f>
        <v>0</v>
      </c>
      <c r="Y59" s="26">
        <f>$I$17*$Y$17</f>
        <v>0</v>
      </c>
      <c r="Z59" s="26">
        <f>$I$17*$Z$17</f>
        <v>0</v>
      </c>
      <c r="AA59" s="26">
        <f>$I$17*$AA$17</f>
        <v>0</v>
      </c>
      <c r="AB59" s="26">
        <f>$I$17*$AB$17</f>
        <v>0</v>
      </c>
      <c r="AC59" s="26">
        <f>$I$17*$AC$17</f>
        <v>0</v>
      </c>
      <c r="AD59" s="26">
        <f>$I$17*$AD$17</f>
        <v>0</v>
      </c>
      <c r="AE59" s="26">
        <f>$I$17*$AE$17</f>
        <v>0</v>
      </c>
      <c r="AF59" s="26">
        <f>$I$17*$AF$17</f>
        <v>0</v>
      </c>
      <c r="AG59" s="26">
        <f>$I$17*$AG$17</f>
        <v>0</v>
      </c>
      <c r="AH59" s="26">
        <f>$I$17*$AH$17</f>
        <v>0</v>
      </c>
    </row>
    <row r="60" spans="1:34" ht="11.25" customHeight="1" x14ac:dyDescent="0.3">
      <c r="A60" s="9" t="s">
        <v>22</v>
      </c>
      <c r="B60" s="9" t="s">
        <v>934</v>
      </c>
      <c r="C60" s="9" t="s">
        <v>935</v>
      </c>
      <c r="D60" s="9" t="s">
        <v>948</v>
      </c>
      <c r="E60" s="9" t="s">
        <v>949</v>
      </c>
      <c r="F60" s="9" t="s">
        <v>950</v>
      </c>
      <c r="G60" s="9" t="s">
        <v>951</v>
      </c>
      <c r="L60" s="26">
        <f>$I$18*$L$18</f>
        <v>0</v>
      </c>
      <c r="M60" s="26">
        <f>$I$18*$M$18</f>
        <v>0</v>
      </c>
      <c r="N60" s="26">
        <f>$I$18*$N$18</f>
        <v>0</v>
      </c>
      <c r="O60" s="26">
        <f>$I$18*$O$18</f>
        <v>0</v>
      </c>
      <c r="P60" s="26">
        <f>$I$18*$P$18</f>
        <v>0</v>
      </c>
      <c r="Q60" s="26">
        <f>$I$18*$Q$18</f>
        <v>0</v>
      </c>
      <c r="R60" s="26">
        <f>$I$18*$R$18</f>
        <v>0</v>
      </c>
      <c r="S60" s="26">
        <f>$I$18*$S$18</f>
        <v>0</v>
      </c>
      <c r="T60" s="26">
        <f>$I$18*$T$18</f>
        <v>0</v>
      </c>
      <c r="U60" s="26">
        <f>$I$18*$U$18</f>
        <v>0</v>
      </c>
      <c r="V60" s="26">
        <f>$I$18*$V$18</f>
        <v>0</v>
      </c>
      <c r="X60" s="26">
        <f>$I$18*$X$18</f>
        <v>0</v>
      </c>
      <c r="Y60" s="26">
        <f>$I$18*$Y$18</f>
        <v>0</v>
      </c>
      <c r="Z60" s="26">
        <f>$I$18*$Z$18</f>
        <v>0</v>
      </c>
      <c r="AA60" s="26">
        <f>$I$18*$AA$18</f>
        <v>0</v>
      </c>
      <c r="AB60" s="26">
        <f>$I$18*$AB$18</f>
        <v>0</v>
      </c>
      <c r="AC60" s="26">
        <f>$I$18*$AC$18</f>
        <v>0</v>
      </c>
      <c r="AD60" s="26">
        <f>$I$18*$AD$18</f>
        <v>0</v>
      </c>
      <c r="AE60" s="26">
        <f>$I$18*$AE$18</f>
        <v>0</v>
      </c>
      <c r="AF60" s="26">
        <f>$I$18*$AF$18</f>
        <v>0</v>
      </c>
      <c r="AG60" s="26">
        <f>$I$18*$AG$18</f>
        <v>0</v>
      </c>
      <c r="AH60" s="26">
        <f>$I$18*$AH$18</f>
        <v>0</v>
      </c>
    </row>
    <row r="61" spans="1:34" ht="11.25" customHeight="1" x14ac:dyDescent="0.3">
      <c r="A61" s="9" t="s">
        <v>22</v>
      </c>
      <c r="B61" s="9" t="s">
        <v>934</v>
      </c>
      <c r="C61" s="9" t="s">
        <v>935</v>
      </c>
      <c r="D61" s="9" t="s">
        <v>952</v>
      </c>
      <c r="E61" s="9" t="s">
        <v>953</v>
      </c>
      <c r="F61" s="9" t="s">
        <v>954</v>
      </c>
      <c r="G61" s="9" t="s">
        <v>955</v>
      </c>
      <c r="L61" s="26">
        <f>$I$19*$L$19</f>
        <v>0</v>
      </c>
      <c r="M61" s="26">
        <f>$I$19*$M$19</f>
        <v>0</v>
      </c>
      <c r="N61" s="26">
        <f>$I$19*$N$19</f>
        <v>0</v>
      </c>
      <c r="O61" s="26">
        <f>$I$19*$O$19</f>
        <v>0</v>
      </c>
      <c r="P61" s="26">
        <f>$I$19*$P$19</f>
        <v>0</v>
      </c>
      <c r="Q61" s="26">
        <f>$I$19*$Q$19</f>
        <v>0</v>
      </c>
      <c r="R61" s="26">
        <f>$I$19*$R$19</f>
        <v>0</v>
      </c>
      <c r="S61" s="26">
        <f>$I$19*$S$19</f>
        <v>0</v>
      </c>
      <c r="T61" s="26">
        <f>$I$19*$T$19</f>
        <v>0</v>
      </c>
      <c r="U61" s="26">
        <f>$I$19*$U$19</f>
        <v>0</v>
      </c>
      <c r="V61" s="26">
        <f>$I$19*$V$19</f>
        <v>0</v>
      </c>
      <c r="X61" s="26">
        <f>$I$19*$X$19</f>
        <v>0</v>
      </c>
      <c r="Y61" s="26">
        <f>$I$19*$Y$19</f>
        <v>0</v>
      </c>
      <c r="Z61" s="26">
        <f>$I$19*$Z$19</f>
        <v>0</v>
      </c>
      <c r="AA61" s="26">
        <f>$I$19*$AA$19</f>
        <v>0</v>
      </c>
      <c r="AB61" s="26">
        <f>$I$19*$AB$19</f>
        <v>0</v>
      </c>
      <c r="AC61" s="26">
        <f>$I$19*$AC$19</f>
        <v>0</v>
      </c>
      <c r="AD61" s="26">
        <f>$I$19*$AD$19</f>
        <v>0</v>
      </c>
      <c r="AE61" s="26">
        <f>$I$19*$AE$19</f>
        <v>0</v>
      </c>
      <c r="AF61" s="26">
        <f>$I$19*$AF$19</f>
        <v>0</v>
      </c>
      <c r="AG61" s="26">
        <f>$I$19*$AG$19</f>
        <v>0</v>
      </c>
      <c r="AH61" s="26">
        <f>$I$19*$AH$19</f>
        <v>0</v>
      </c>
    </row>
    <row r="62" spans="1:34" ht="11.25" customHeight="1" x14ac:dyDescent="0.3">
      <c r="A62" s="9" t="s">
        <v>42</v>
      </c>
      <c r="B62" s="9" t="s">
        <v>956</v>
      </c>
      <c r="C62" s="9" t="s">
        <v>957</v>
      </c>
      <c r="D62" s="9" t="s">
        <v>958</v>
      </c>
      <c r="E62" s="9" t="s">
        <v>959</v>
      </c>
      <c r="F62" s="9" t="s">
        <v>960</v>
      </c>
      <c r="G62" s="9" t="s">
        <v>961</v>
      </c>
      <c r="L62" s="26">
        <f>$I$20*$L$20</f>
        <v>0</v>
      </c>
      <c r="M62" s="26">
        <f>$I$20*$M$20</f>
        <v>0</v>
      </c>
      <c r="N62" s="26">
        <f>$I$20*$N$20</f>
        <v>0</v>
      </c>
      <c r="O62" s="26">
        <f>$I$20*$O$20</f>
        <v>0</v>
      </c>
      <c r="P62" s="26">
        <f>$I$20*$P$20</f>
        <v>0</v>
      </c>
      <c r="Q62" s="26">
        <f>$I$20*$Q$20</f>
        <v>0</v>
      </c>
      <c r="R62" s="26">
        <f>$I$20*$R$20</f>
        <v>0</v>
      </c>
      <c r="S62" s="26">
        <f>$I$20*$S$20</f>
        <v>0</v>
      </c>
      <c r="T62" s="26">
        <f>$I$20*$T$20</f>
        <v>0</v>
      </c>
      <c r="U62" s="26">
        <f>$I$20*$U$20</f>
        <v>0</v>
      </c>
      <c r="V62" s="26">
        <f>$I$20*$V$20</f>
        <v>0</v>
      </c>
      <c r="X62" s="26">
        <f>$I$20*$X$20</f>
        <v>0</v>
      </c>
      <c r="Y62" s="26">
        <f>$I$20*$Y$20</f>
        <v>0</v>
      </c>
      <c r="Z62" s="26">
        <f>$I$20*$Z$20</f>
        <v>0</v>
      </c>
      <c r="AA62" s="26">
        <f>$I$20*$AA$20</f>
        <v>0</v>
      </c>
      <c r="AB62" s="26">
        <f>$I$20*$AB$20</f>
        <v>0</v>
      </c>
      <c r="AC62" s="26">
        <f>$I$20*$AC$20</f>
        <v>0</v>
      </c>
      <c r="AD62" s="26">
        <f>$I$20*$AD$20</f>
        <v>0</v>
      </c>
      <c r="AE62" s="26">
        <f>$I$20*$AE$20</f>
        <v>0</v>
      </c>
      <c r="AF62" s="26">
        <f>$I$20*$AF$20</f>
        <v>0</v>
      </c>
      <c r="AG62" s="26">
        <f>$I$20*$AG$20</f>
        <v>0</v>
      </c>
      <c r="AH62" s="26">
        <f>$I$20*$AH$20</f>
        <v>0</v>
      </c>
    </row>
    <row r="63" spans="1:34" ht="11.25" customHeight="1" x14ac:dyDescent="0.3">
      <c r="A63" s="9" t="s">
        <v>42</v>
      </c>
      <c r="B63" s="9" t="s">
        <v>956</v>
      </c>
      <c r="C63" s="9" t="s">
        <v>957</v>
      </c>
      <c r="D63" s="9" t="s">
        <v>958</v>
      </c>
      <c r="E63" s="9" t="s">
        <v>959</v>
      </c>
      <c r="F63" s="9" t="s">
        <v>960</v>
      </c>
      <c r="G63" s="9" t="s">
        <v>962</v>
      </c>
      <c r="L63" s="26">
        <f>$I$21*$L$21</f>
        <v>0</v>
      </c>
      <c r="M63" s="26">
        <f>$I$21*$M$21</f>
        <v>0</v>
      </c>
      <c r="N63" s="26">
        <f>$I$21*$N$21</f>
        <v>0</v>
      </c>
      <c r="O63" s="26">
        <f>$I$21*$O$21</f>
        <v>0</v>
      </c>
      <c r="P63" s="26">
        <f>$I$21*$P$21</f>
        <v>0</v>
      </c>
      <c r="Q63" s="26">
        <f>$I$21*$Q$21</f>
        <v>0</v>
      </c>
      <c r="R63" s="26">
        <f>$I$21*$R$21</f>
        <v>0</v>
      </c>
      <c r="S63" s="26">
        <f>$I$21*$S$21</f>
        <v>0</v>
      </c>
      <c r="T63" s="26">
        <f>$I$21*$T$21</f>
        <v>0</v>
      </c>
      <c r="U63" s="26">
        <f>$I$21*$U$21</f>
        <v>0</v>
      </c>
      <c r="V63" s="26">
        <f>$I$21*$V$21</f>
        <v>0</v>
      </c>
      <c r="X63" s="26">
        <f>$I$21*$X$21</f>
        <v>0</v>
      </c>
      <c r="Y63" s="26">
        <f>$I$21*$Y$21</f>
        <v>0</v>
      </c>
      <c r="Z63" s="26">
        <f>$I$21*$Z$21</f>
        <v>0</v>
      </c>
      <c r="AA63" s="26">
        <f>$I$21*$AA$21</f>
        <v>0</v>
      </c>
      <c r="AB63" s="26">
        <f>$I$21*$AB$21</f>
        <v>0</v>
      </c>
      <c r="AC63" s="26">
        <f>$I$21*$AC$21</f>
        <v>0</v>
      </c>
      <c r="AD63" s="26">
        <f>$I$21*$AD$21</f>
        <v>0</v>
      </c>
      <c r="AE63" s="26">
        <f>$I$21*$AE$21</f>
        <v>0</v>
      </c>
      <c r="AF63" s="26">
        <f>$I$21*$AF$21</f>
        <v>0</v>
      </c>
      <c r="AG63" s="26">
        <f>$I$21*$AG$21</f>
        <v>0</v>
      </c>
      <c r="AH63" s="26">
        <f>$I$21*$AH$21</f>
        <v>0</v>
      </c>
    </row>
    <row r="64" spans="1:34" ht="11.25" customHeight="1" x14ac:dyDescent="0.3">
      <c r="A64" s="9" t="s">
        <v>42</v>
      </c>
      <c r="B64" s="9" t="s">
        <v>956</v>
      </c>
      <c r="C64" s="9" t="s">
        <v>957</v>
      </c>
      <c r="D64" s="9" t="s">
        <v>958</v>
      </c>
      <c r="E64" s="9" t="s">
        <v>959</v>
      </c>
      <c r="F64" s="9" t="s">
        <v>960</v>
      </c>
      <c r="G64" s="9" t="s">
        <v>963</v>
      </c>
      <c r="L64" s="26">
        <f>$I$22*$L$22</f>
        <v>0</v>
      </c>
      <c r="M64" s="26">
        <f>$I$22*$M$22</f>
        <v>0</v>
      </c>
      <c r="N64" s="26">
        <f>$I$22*$N$22</f>
        <v>0</v>
      </c>
      <c r="O64" s="26">
        <f>$I$22*$O$22</f>
        <v>0</v>
      </c>
      <c r="P64" s="26">
        <f>$I$22*$P$22</f>
        <v>0</v>
      </c>
      <c r="Q64" s="26">
        <f>$I$22*$Q$22</f>
        <v>0</v>
      </c>
      <c r="R64" s="26">
        <f>$I$22*$R$22</f>
        <v>0</v>
      </c>
      <c r="S64" s="26">
        <f>$I$22*$S$22</f>
        <v>0</v>
      </c>
      <c r="T64" s="26">
        <f>$I$22*$T$22</f>
        <v>0</v>
      </c>
      <c r="U64" s="26">
        <f>$I$22*$U$22</f>
        <v>0</v>
      </c>
      <c r="V64" s="26">
        <f>$I$22*$V$22</f>
        <v>0</v>
      </c>
      <c r="X64" s="26">
        <f>$I$22*$X$22</f>
        <v>0</v>
      </c>
      <c r="Y64" s="26">
        <f>$I$22*$Y$22</f>
        <v>0</v>
      </c>
      <c r="Z64" s="26">
        <f>$I$22*$Z$22</f>
        <v>0</v>
      </c>
      <c r="AA64" s="26">
        <f>$I$22*$AA$22</f>
        <v>0</v>
      </c>
      <c r="AB64" s="26">
        <f>$I$22*$AB$22</f>
        <v>0</v>
      </c>
      <c r="AC64" s="26">
        <f>$I$22*$AC$22</f>
        <v>0</v>
      </c>
      <c r="AD64" s="26">
        <f>$I$22*$AD$22</f>
        <v>0</v>
      </c>
      <c r="AE64" s="26">
        <f>$I$22*$AE$22</f>
        <v>0</v>
      </c>
      <c r="AF64" s="26">
        <f>$I$22*$AF$22</f>
        <v>0</v>
      </c>
      <c r="AG64" s="26">
        <f>$I$22*$AG$22</f>
        <v>0</v>
      </c>
      <c r="AH64" s="26">
        <f>$I$22*$AH$22</f>
        <v>0</v>
      </c>
    </row>
    <row r="65" spans="1:34" ht="11.25" customHeight="1" x14ac:dyDescent="0.3">
      <c r="A65" s="9" t="s">
        <v>42</v>
      </c>
      <c r="B65" s="9" t="s">
        <v>964</v>
      </c>
      <c r="C65" s="9" t="s">
        <v>965</v>
      </c>
      <c r="D65" s="9" t="s">
        <v>966</v>
      </c>
      <c r="E65" s="9" t="s">
        <v>967</v>
      </c>
      <c r="F65" s="9" t="s">
        <v>968</v>
      </c>
      <c r="G65" s="9" t="s">
        <v>969</v>
      </c>
      <c r="L65" s="26">
        <f>$I$23*$L$23</f>
        <v>0</v>
      </c>
      <c r="M65" s="26">
        <f>$I$23*$M$23</f>
        <v>169183.35092619143</v>
      </c>
      <c r="N65" s="26">
        <f>$I$23*$N$23</f>
        <v>0</v>
      </c>
      <c r="O65" s="26">
        <f>$I$23*$O$23</f>
        <v>0</v>
      </c>
      <c r="P65" s="26">
        <f>$I$23*$P$23</f>
        <v>-71736.403188243799</v>
      </c>
      <c r="Q65" s="26">
        <f>$I$23*$Q$23</f>
        <v>857517.18382840953</v>
      </c>
      <c r="R65" s="26">
        <f>$I$23*$R$23</f>
        <v>0</v>
      </c>
      <c r="S65" s="26">
        <f>$I$23*$S$23</f>
        <v>0</v>
      </c>
      <c r="T65" s="26">
        <f>$I$23*$T$23</f>
        <v>0</v>
      </c>
      <c r="U65" s="26">
        <f>$I$23*$U$23</f>
        <v>0</v>
      </c>
      <c r="V65" s="26">
        <f>$I$23*$V$23</f>
        <v>34654.214585926849</v>
      </c>
      <c r="X65" s="26">
        <f>$I$23*$X$23</f>
        <v>0</v>
      </c>
      <c r="Y65" s="26">
        <f>$I$23*$Y$23</f>
        <v>21375.32050280791</v>
      </c>
      <c r="Z65" s="26">
        <f>$I$23*$Z$23</f>
        <v>0</v>
      </c>
      <c r="AA65" s="26">
        <f>$I$23*$AA$23</f>
        <v>0</v>
      </c>
      <c r="AB65" s="26">
        <f>$I$23*$AB$23</f>
        <v>0</v>
      </c>
      <c r="AC65" s="26">
        <f>$I$23*$AC$23</f>
        <v>1154096.5906147724</v>
      </c>
      <c r="AD65" s="26">
        <f>$I$23*$AD$23</f>
        <v>0</v>
      </c>
      <c r="AE65" s="26">
        <f>$I$23*$AE$23</f>
        <v>0</v>
      </c>
      <c r="AF65" s="26">
        <f>$I$23*$AF$23</f>
        <v>0</v>
      </c>
      <c r="AG65" s="26">
        <f>$I$23*$AG$23</f>
        <v>0</v>
      </c>
      <c r="AH65" s="26">
        <f>$I$23*$AH$23</f>
        <v>0</v>
      </c>
    </row>
    <row r="66" spans="1:34" ht="11.25" customHeight="1" x14ac:dyDescent="0.3">
      <c r="A66" s="9" t="s">
        <v>42</v>
      </c>
      <c r="B66" s="9" t="s">
        <v>956</v>
      </c>
      <c r="C66" s="9" t="s">
        <v>957</v>
      </c>
      <c r="D66" s="9" t="s">
        <v>970</v>
      </c>
      <c r="E66" s="9" t="s">
        <v>971</v>
      </c>
      <c r="F66" s="9" t="s">
        <v>972</v>
      </c>
      <c r="G66" s="9" t="s">
        <v>973</v>
      </c>
      <c r="L66" s="26">
        <f>$I$24*$L$24</f>
        <v>0</v>
      </c>
      <c r="M66" s="26">
        <f>$I$24*$M$24</f>
        <v>0</v>
      </c>
      <c r="N66" s="26">
        <f>$I$24*$N$24</f>
        <v>0</v>
      </c>
      <c r="O66" s="26">
        <f>$I$24*$O$24</f>
        <v>0</v>
      </c>
      <c r="P66" s="26">
        <f>$I$24*$P$24</f>
        <v>0</v>
      </c>
      <c r="Q66" s="26">
        <f>$I$24*$Q$24</f>
        <v>0</v>
      </c>
      <c r="R66" s="26">
        <f>$I$24*$R$24</f>
        <v>0</v>
      </c>
      <c r="S66" s="26">
        <f>$I$24*$S$24</f>
        <v>0</v>
      </c>
      <c r="T66" s="26">
        <f>$I$24*$T$24</f>
        <v>0</v>
      </c>
      <c r="U66" s="26">
        <f>$I$24*$U$24</f>
        <v>0</v>
      </c>
      <c r="V66" s="26">
        <f>$I$24*$V$24</f>
        <v>0</v>
      </c>
      <c r="X66" s="26">
        <f>$I$24*$X$24</f>
        <v>0</v>
      </c>
      <c r="Y66" s="26">
        <f>$I$24*$Y$24</f>
        <v>0</v>
      </c>
      <c r="Z66" s="26">
        <f>$I$24*$Z$24</f>
        <v>0</v>
      </c>
      <c r="AA66" s="26">
        <f>$I$24*$AA$24</f>
        <v>0</v>
      </c>
      <c r="AB66" s="26">
        <f>$I$24*$AB$24</f>
        <v>0</v>
      </c>
      <c r="AC66" s="26">
        <f>$I$24*$AC$24</f>
        <v>0</v>
      </c>
      <c r="AD66" s="26">
        <f>$I$24*$AD$24</f>
        <v>0</v>
      </c>
      <c r="AE66" s="26">
        <f>$I$24*$AE$24</f>
        <v>0</v>
      </c>
      <c r="AF66" s="26">
        <f>$I$24*$AF$24</f>
        <v>0</v>
      </c>
      <c r="AG66" s="26">
        <f>$I$24*$AG$24</f>
        <v>0</v>
      </c>
      <c r="AH66" s="26">
        <f>$I$24*$AH$24</f>
        <v>0</v>
      </c>
    </row>
    <row r="67" spans="1:34" ht="11.25" customHeight="1" x14ac:dyDescent="0.3">
      <c r="A67" s="9" t="s">
        <v>42</v>
      </c>
      <c r="B67" s="9" t="s">
        <v>956</v>
      </c>
      <c r="C67" s="9" t="s">
        <v>957</v>
      </c>
      <c r="D67" s="9" t="s">
        <v>970</v>
      </c>
      <c r="E67" s="9" t="s">
        <v>971</v>
      </c>
      <c r="F67" s="9" t="s">
        <v>972</v>
      </c>
      <c r="G67" s="9" t="s">
        <v>974</v>
      </c>
      <c r="L67" s="26">
        <f>$I$25*$L$25</f>
        <v>0</v>
      </c>
      <c r="M67" s="26">
        <f>$I$25*$M$25</f>
        <v>0</v>
      </c>
      <c r="N67" s="26">
        <f>$I$25*$N$25</f>
        <v>0</v>
      </c>
      <c r="O67" s="26">
        <f>$I$25*$O$25</f>
        <v>0</v>
      </c>
      <c r="P67" s="26">
        <f>$I$25*$P$25</f>
        <v>0</v>
      </c>
      <c r="Q67" s="26">
        <f>$I$25*$Q$25</f>
        <v>0</v>
      </c>
      <c r="R67" s="26">
        <f>$I$25*$R$25</f>
        <v>0</v>
      </c>
      <c r="S67" s="26">
        <f>$I$25*$S$25</f>
        <v>0</v>
      </c>
      <c r="T67" s="26">
        <f>$I$25*$T$25</f>
        <v>0</v>
      </c>
      <c r="U67" s="26">
        <f>$I$25*$U$25</f>
        <v>0</v>
      </c>
      <c r="V67" s="26">
        <f>$I$25*$V$25</f>
        <v>0</v>
      </c>
      <c r="X67" s="26">
        <f>$I$25*$X$25</f>
        <v>0</v>
      </c>
      <c r="Y67" s="26">
        <f>$I$25*$Y$25</f>
        <v>0</v>
      </c>
      <c r="Z67" s="26">
        <f>$I$25*$Z$25</f>
        <v>0</v>
      </c>
      <c r="AA67" s="26">
        <f>$I$25*$AA$25</f>
        <v>0</v>
      </c>
      <c r="AB67" s="26">
        <f>$I$25*$AB$25</f>
        <v>0</v>
      </c>
      <c r="AC67" s="26">
        <f>$I$25*$AC$25</f>
        <v>0</v>
      </c>
      <c r="AD67" s="26">
        <f>$I$25*$AD$25</f>
        <v>0</v>
      </c>
      <c r="AE67" s="26">
        <f>$I$25*$AE$25</f>
        <v>0</v>
      </c>
      <c r="AF67" s="26">
        <f>$I$25*$AF$25</f>
        <v>0</v>
      </c>
      <c r="AG67" s="26">
        <f>$I$25*$AG$25</f>
        <v>0</v>
      </c>
      <c r="AH67" s="26">
        <f>$I$25*$AH$25</f>
        <v>0</v>
      </c>
    </row>
    <row r="68" spans="1:34" ht="11.25" customHeight="1" x14ac:dyDescent="0.3">
      <c r="A68" s="9" t="s">
        <v>42</v>
      </c>
      <c r="B68" s="9" t="s">
        <v>956</v>
      </c>
      <c r="C68" s="9" t="s">
        <v>957</v>
      </c>
      <c r="D68" s="9" t="s">
        <v>970</v>
      </c>
      <c r="E68" s="9" t="s">
        <v>971</v>
      </c>
      <c r="F68" s="9" t="s">
        <v>972</v>
      </c>
      <c r="G68" s="9" t="s">
        <v>975</v>
      </c>
      <c r="L68" s="26">
        <f>$I$26*$L$26</f>
        <v>0</v>
      </c>
      <c r="M68" s="26">
        <f>$I$26*$M$26</f>
        <v>0</v>
      </c>
      <c r="N68" s="26">
        <f>$I$26*$N$26</f>
        <v>0</v>
      </c>
      <c r="O68" s="26">
        <f>$I$26*$O$26</f>
        <v>0</v>
      </c>
      <c r="P68" s="26">
        <f>$I$26*$P$26</f>
        <v>0</v>
      </c>
      <c r="Q68" s="26">
        <f>$I$26*$Q$26</f>
        <v>0</v>
      </c>
      <c r="R68" s="26">
        <f>$I$26*$R$26</f>
        <v>0</v>
      </c>
      <c r="S68" s="26">
        <f>$I$26*$S$26</f>
        <v>0</v>
      </c>
      <c r="T68" s="26">
        <f>$I$26*$T$26</f>
        <v>0</v>
      </c>
      <c r="U68" s="26">
        <f>$I$26*$U$26</f>
        <v>0</v>
      </c>
      <c r="V68" s="26">
        <f>$I$26*$V$26</f>
        <v>0</v>
      </c>
      <c r="X68" s="26">
        <f>$I$26*$X$26</f>
        <v>0</v>
      </c>
      <c r="Y68" s="26">
        <f>$I$26*$Y$26</f>
        <v>0</v>
      </c>
      <c r="Z68" s="26">
        <f>$I$26*$Z$26</f>
        <v>0</v>
      </c>
      <c r="AA68" s="26">
        <f>$I$26*$AA$26</f>
        <v>0</v>
      </c>
      <c r="AB68" s="26">
        <f>$I$26*$AB$26</f>
        <v>0</v>
      </c>
      <c r="AC68" s="26">
        <f>$I$26*$AC$26</f>
        <v>0</v>
      </c>
      <c r="AD68" s="26">
        <f>$I$26*$AD$26</f>
        <v>0</v>
      </c>
      <c r="AE68" s="26">
        <f>$I$26*$AE$26</f>
        <v>0</v>
      </c>
      <c r="AF68" s="26">
        <f>$I$26*$AF$26</f>
        <v>0</v>
      </c>
      <c r="AG68" s="26">
        <f>$I$26*$AG$26</f>
        <v>0</v>
      </c>
      <c r="AH68" s="26">
        <f>$I$26*$AH$26</f>
        <v>0</v>
      </c>
    </row>
    <row r="69" spans="1:34" ht="11.25" customHeight="1" x14ac:dyDescent="0.3">
      <c r="A69" s="9" t="s">
        <v>42</v>
      </c>
      <c r="B69" s="9" t="s">
        <v>964</v>
      </c>
      <c r="C69" s="9" t="s">
        <v>965</v>
      </c>
      <c r="D69" s="9" t="s">
        <v>976</v>
      </c>
      <c r="E69" s="9" t="s">
        <v>977</v>
      </c>
      <c r="F69" s="9" t="s">
        <v>978</v>
      </c>
      <c r="G69" s="9" t="s">
        <v>979</v>
      </c>
      <c r="L69" s="26">
        <f>$I$27*$L$27</f>
        <v>0</v>
      </c>
      <c r="M69" s="26">
        <f>$I$27*$M$27</f>
        <v>0</v>
      </c>
      <c r="N69" s="26">
        <f>$I$27*$N$27</f>
        <v>0</v>
      </c>
      <c r="O69" s="26">
        <f>$I$27*$O$27</f>
        <v>0</v>
      </c>
      <c r="P69" s="26">
        <f>$I$27*$P$27</f>
        <v>0</v>
      </c>
      <c r="Q69" s="26">
        <f>$I$27*$Q$27</f>
        <v>0</v>
      </c>
      <c r="R69" s="26">
        <f>$I$27*$R$27</f>
        <v>0</v>
      </c>
      <c r="S69" s="26">
        <f>$I$27*$S$27</f>
        <v>0</v>
      </c>
      <c r="T69" s="26">
        <f>$I$27*$T$27</f>
        <v>0</v>
      </c>
      <c r="U69" s="26">
        <f>$I$27*$U$27</f>
        <v>0</v>
      </c>
      <c r="V69" s="26">
        <f>$I$27*$V$27</f>
        <v>0</v>
      </c>
      <c r="X69" s="26">
        <f>$I$27*$X$27</f>
        <v>0</v>
      </c>
      <c r="Y69" s="26">
        <f>$I$27*$Y$27</f>
        <v>0</v>
      </c>
      <c r="Z69" s="26">
        <f>$I$27*$Z$27</f>
        <v>0</v>
      </c>
      <c r="AA69" s="26">
        <f>$I$27*$AA$27</f>
        <v>0</v>
      </c>
      <c r="AB69" s="26">
        <f>$I$27*$AB$27</f>
        <v>0</v>
      </c>
      <c r="AC69" s="26">
        <f>$I$27*$AC$27</f>
        <v>0</v>
      </c>
      <c r="AD69" s="26">
        <f>$I$27*$AD$27</f>
        <v>0</v>
      </c>
      <c r="AE69" s="26">
        <f>$I$27*$AE$27</f>
        <v>0</v>
      </c>
      <c r="AF69" s="26">
        <f>$I$27*$AF$27</f>
        <v>0</v>
      </c>
      <c r="AG69" s="26">
        <f>$I$27*$AG$27</f>
        <v>0</v>
      </c>
      <c r="AH69" s="26">
        <f>$I$27*$AH$27</f>
        <v>0</v>
      </c>
    </row>
    <row r="70" spans="1:34" ht="11.25" customHeight="1" x14ac:dyDescent="0.3">
      <c r="A70" s="9" t="s">
        <v>42</v>
      </c>
      <c r="B70" s="9" t="s">
        <v>956</v>
      </c>
      <c r="C70" s="9" t="s">
        <v>957</v>
      </c>
      <c r="D70" s="9" t="s">
        <v>980</v>
      </c>
      <c r="E70" s="9" t="s">
        <v>981</v>
      </c>
      <c r="F70" s="9" t="s">
        <v>982</v>
      </c>
      <c r="G70" s="9" t="s">
        <v>983</v>
      </c>
      <c r="L70" s="26">
        <f>$I$28*$L$28</f>
        <v>0</v>
      </c>
      <c r="M70" s="26">
        <f>$I$28*$M$28</f>
        <v>0</v>
      </c>
      <c r="N70" s="26">
        <f>$I$28*$N$28</f>
        <v>0</v>
      </c>
      <c r="O70" s="26">
        <f>$I$28*$O$28</f>
        <v>0</v>
      </c>
      <c r="P70" s="26">
        <f>$I$28*$P$28</f>
        <v>0</v>
      </c>
      <c r="Q70" s="26">
        <f>$I$28*$Q$28</f>
        <v>0</v>
      </c>
      <c r="R70" s="26">
        <f>$I$28*$R$28</f>
        <v>0</v>
      </c>
      <c r="S70" s="26">
        <f>$I$28*$S$28</f>
        <v>0</v>
      </c>
      <c r="T70" s="26">
        <f>$I$28*$T$28</f>
        <v>0</v>
      </c>
      <c r="U70" s="26">
        <f>$I$28*$U$28</f>
        <v>0</v>
      </c>
      <c r="V70" s="26">
        <f>$I$28*$V$28</f>
        <v>0</v>
      </c>
      <c r="X70" s="26">
        <f>$I$28*$X$28</f>
        <v>0</v>
      </c>
      <c r="Y70" s="26">
        <f>$I$28*$Y$28</f>
        <v>0</v>
      </c>
      <c r="Z70" s="26">
        <f>$I$28*$Z$28</f>
        <v>0</v>
      </c>
      <c r="AA70" s="26">
        <f>$I$28*$AA$28</f>
        <v>0</v>
      </c>
      <c r="AB70" s="26">
        <f>$I$28*$AB$28</f>
        <v>0</v>
      </c>
      <c r="AC70" s="26">
        <f>$I$28*$AC$28</f>
        <v>0</v>
      </c>
      <c r="AD70" s="26">
        <f>$I$28*$AD$28</f>
        <v>0</v>
      </c>
      <c r="AE70" s="26">
        <f>$I$28*$AE$28</f>
        <v>0</v>
      </c>
      <c r="AF70" s="26">
        <f>$I$28*$AF$28</f>
        <v>0</v>
      </c>
      <c r="AG70" s="26">
        <f>$I$28*$AG$28</f>
        <v>0</v>
      </c>
      <c r="AH70" s="26">
        <f>$I$28*$AH$28</f>
        <v>0</v>
      </c>
    </row>
    <row r="71" spans="1:34" ht="11.25" customHeight="1" x14ac:dyDescent="0.3">
      <c r="A71" s="9" t="s">
        <v>42</v>
      </c>
      <c r="B71" s="9" t="s">
        <v>956</v>
      </c>
      <c r="C71" s="9" t="s">
        <v>957</v>
      </c>
      <c r="D71" s="9" t="s">
        <v>980</v>
      </c>
      <c r="E71" s="9" t="s">
        <v>981</v>
      </c>
      <c r="F71" s="9" t="s">
        <v>982</v>
      </c>
      <c r="G71" s="9" t="s">
        <v>984</v>
      </c>
      <c r="L71" s="26">
        <f>$I$29*$L$29</f>
        <v>0</v>
      </c>
      <c r="M71" s="26">
        <f>$I$29*$M$29</f>
        <v>0</v>
      </c>
      <c r="N71" s="26">
        <f>$I$29*$N$29</f>
        <v>0</v>
      </c>
      <c r="O71" s="26">
        <f>$I$29*$O$29</f>
        <v>0</v>
      </c>
      <c r="P71" s="26">
        <f>$I$29*$P$29</f>
        <v>0</v>
      </c>
      <c r="Q71" s="26">
        <f>$I$29*$Q$29</f>
        <v>0</v>
      </c>
      <c r="R71" s="26">
        <f>$I$29*$R$29</f>
        <v>0</v>
      </c>
      <c r="S71" s="26">
        <f>$I$29*$S$29</f>
        <v>0</v>
      </c>
      <c r="T71" s="26">
        <f>$I$29*$T$29</f>
        <v>0</v>
      </c>
      <c r="U71" s="26">
        <f>$I$29*$U$29</f>
        <v>0</v>
      </c>
      <c r="V71" s="26">
        <f>$I$29*$V$29</f>
        <v>0</v>
      </c>
      <c r="X71" s="26">
        <f>$I$29*$X$29</f>
        <v>0</v>
      </c>
      <c r="Y71" s="26">
        <f>$I$29*$Y$29</f>
        <v>0</v>
      </c>
      <c r="Z71" s="26">
        <f>$I$29*$Z$29</f>
        <v>0</v>
      </c>
      <c r="AA71" s="26">
        <f>$I$29*$AA$29</f>
        <v>0</v>
      </c>
      <c r="AB71" s="26">
        <f>$I$29*$AB$29</f>
        <v>0</v>
      </c>
      <c r="AC71" s="26">
        <f>$I$29*$AC$29</f>
        <v>0</v>
      </c>
      <c r="AD71" s="26">
        <f>$I$29*$AD$29</f>
        <v>0</v>
      </c>
      <c r="AE71" s="26">
        <f>$I$29*$AE$29</f>
        <v>0</v>
      </c>
      <c r="AF71" s="26">
        <f>$I$29*$AF$29</f>
        <v>0</v>
      </c>
      <c r="AG71" s="26">
        <f>$I$29*$AG$29</f>
        <v>0</v>
      </c>
      <c r="AH71" s="26">
        <f>$I$29*$AH$29</f>
        <v>0</v>
      </c>
    </row>
    <row r="72" spans="1:34" ht="11.25" customHeight="1" x14ac:dyDescent="0.3">
      <c r="A72" s="9" t="s">
        <v>42</v>
      </c>
      <c r="B72" s="9" t="s">
        <v>956</v>
      </c>
      <c r="C72" s="9" t="s">
        <v>957</v>
      </c>
      <c r="D72" s="9" t="s">
        <v>980</v>
      </c>
      <c r="E72" s="9" t="s">
        <v>981</v>
      </c>
      <c r="F72" s="9" t="s">
        <v>982</v>
      </c>
      <c r="G72" s="9" t="s">
        <v>985</v>
      </c>
      <c r="L72" s="26">
        <f>$I$30*$L$30</f>
        <v>0</v>
      </c>
      <c r="M72" s="26">
        <f>$I$30*$M$30</f>
        <v>0</v>
      </c>
      <c r="N72" s="26">
        <f>$I$30*$N$30</f>
        <v>0</v>
      </c>
      <c r="O72" s="26">
        <f>$I$30*$O$30</f>
        <v>0</v>
      </c>
      <c r="P72" s="26">
        <f>$I$30*$P$30</f>
        <v>0</v>
      </c>
      <c r="Q72" s="26">
        <f>$I$30*$Q$30</f>
        <v>0</v>
      </c>
      <c r="R72" s="26">
        <f>$I$30*$R$30</f>
        <v>0</v>
      </c>
      <c r="S72" s="26">
        <f>$I$30*$S$30</f>
        <v>0</v>
      </c>
      <c r="T72" s="26">
        <f>$I$30*$T$30</f>
        <v>0</v>
      </c>
      <c r="U72" s="26">
        <f>$I$30*$U$30</f>
        <v>0</v>
      </c>
      <c r="V72" s="26">
        <f>$I$30*$V$30</f>
        <v>0</v>
      </c>
      <c r="X72" s="26">
        <f>$I$30*$X$30</f>
        <v>0</v>
      </c>
      <c r="Y72" s="26">
        <f>$I$30*$Y$30</f>
        <v>0</v>
      </c>
      <c r="Z72" s="26">
        <f>$I$30*$Z$30</f>
        <v>0</v>
      </c>
      <c r="AA72" s="26">
        <f>$I$30*$AA$30</f>
        <v>0</v>
      </c>
      <c r="AB72" s="26">
        <f>$I$30*$AB$30</f>
        <v>0</v>
      </c>
      <c r="AC72" s="26">
        <f>$I$30*$AC$30</f>
        <v>0</v>
      </c>
      <c r="AD72" s="26">
        <f>$I$30*$AD$30</f>
        <v>0</v>
      </c>
      <c r="AE72" s="26">
        <f>$I$30*$AE$30</f>
        <v>0</v>
      </c>
      <c r="AF72" s="26">
        <f>$I$30*$AF$30</f>
        <v>0</v>
      </c>
      <c r="AG72" s="26">
        <f>$I$30*$AG$30</f>
        <v>0</v>
      </c>
      <c r="AH72" s="26">
        <f>$I$30*$AH$30</f>
        <v>0</v>
      </c>
    </row>
    <row r="73" spans="1:34" ht="11.25" customHeight="1" x14ac:dyDescent="0.3">
      <c r="A73" s="9" t="s">
        <v>42</v>
      </c>
      <c r="B73" s="9" t="s">
        <v>964</v>
      </c>
      <c r="C73" s="9" t="s">
        <v>965</v>
      </c>
      <c r="D73" s="9" t="s">
        <v>986</v>
      </c>
      <c r="E73" s="9" t="s">
        <v>987</v>
      </c>
      <c r="F73" s="9" t="s">
        <v>988</v>
      </c>
      <c r="G73" s="9" t="s">
        <v>989</v>
      </c>
      <c r="L73" s="26">
        <f>$I$31*$L$31</f>
        <v>0</v>
      </c>
      <c r="M73" s="26">
        <f>$I$31*$M$31</f>
        <v>0</v>
      </c>
      <c r="N73" s="26">
        <f>$I$31*$N$31</f>
        <v>0</v>
      </c>
      <c r="O73" s="26">
        <f>$I$31*$O$31</f>
        <v>0</v>
      </c>
      <c r="P73" s="26">
        <f>$I$31*$P$31</f>
        <v>0</v>
      </c>
      <c r="Q73" s="26">
        <f>$I$31*$Q$31</f>
        <v>0</v>
      </c>
      <c r="R73" s="26">
        <f>$I$31*$R$31</f>
        <v>0</v>
      </c>
      <c r="S73" s="26">
        <f>$I$31*$S$31</f>
        <v>0</v>
      </c>
      <c r="T73" s="26">
        <f>$I$31*$T$31</f>
        <v>0</v>
      </c>
      <c r="U73" s="26">
        <f>$I$31*$U$31</f>
        <v>0</v>
      </c>
      <c r="V73" s="26">
        <f>$I$31*$V$31</f>
        <v>0</v>
      </c>
      <c r="X73" s="26">
        <f>$I$31*$X$31</f>
        <v>0</v>
      </c>
      <c r="Y73" s="26">
        <f>$I$31*$Y$31</f>
        <v>0</v>
      </c>
      <c r="Z73" s="26">
        <f>$I$31*$Z$31</f>
        <v>0</v>
      </c>
      <c r="AA73" s="26">
        <f>$I$31*$AA$31</f>
        <v>0</v>
      </c>
      <c r="AB73" s="26">
        <f>$I$31*$AB$31</f>
        <v>0</v>
      </c>
      <c r="AC73" s="26">
        <f>$I$31*$AC$31</f>
        <v>0</v>
      </c>
      <c r="AD73" s="26">
        <f>$I$31*$AD$31</f>
        <v>0</v>
      </c>
      <c r="AE73" s="26">
        <f>$I$31*$AE$31</f>
        <v>0</v>
      </c>
      <c r="AF73" s="26">
        <f>$I$31*$AF$31</f>
        <v>0</v>
      </c>
      <c r="AG73" s="26">
        <f>$I$31*$AG$31</f>
        <v>0</v>
      </c>
      <c r="AH73" s="26">
        <f>$I$31*$AH$31</f>
        <v>0</v>
      </c>
    </row>
    <row r="74" spans="1:34" ht="11.25" customHeight="1" x14ac:dyDescent="0.3">
      <c r="A74" s="9" t="s">
        <v>42</v>
      </c>
      <c r="B74" s="9" t="s">
        <v>990</v>
      </c>
      <c r="C74" s="9" t="s">
        <v>991</v>
      </c>
      <c r="D74" s="9" t="s">
        <v>992</v>
      </c>
      <c r="E74" s="9" t="s">
        <v>993</v>
      </c>
      <c r="F74" s="9" t="s">
        <v>994</v>
      </c>
      <c r="G74" s="9" t="s">
        <v>995</v>
      </c>
      <c r="L74" s="26">
        <f>$I$32*$L$32</f>
        <v>0</v>
      </c>
      <c r="M74" s="26">
        <f>$I$32*$M$32</f>
        <v>0</v>
      </c>
      <c r="N74" s="26">
        <f>$I$32*$N$32</f>
        <v>0</v>
      </c>
      <c r="O74" s="26">
        <f>$I$32*$O$32</f>
        <v>0</v>
      </c>
      <c r="P74" s="26">
        <f>$I$32*$P$32</f>
        <v>0</v>
      </c>
      <c r="Q74" s="26">
        <f>$I$32*$Q$32</f>
        <v>0</v>
      </c>
      <c r="R74" s="26">
        <f>$I$32*$R$32</f>
        <v>0</v>
      </c>
      <c r="S74" s="26">
        <f>$I$32*$S$32</f>
        <v>0</v>
      </c>
      <c r="T74" s="26">
        <f>$I$32*$T$32</f>
        <v>0</v>
      </c>
      <c r="U74" s="26">
        <f>$I$32*$U$32</f>
        <v>0</v>
      </c>
      <c r="V74" s="26">
        <f>$I$32*$V$32</f>
        <v>0</v>
      </c>
      <c r="X74" s="26">
        <f>$I$32*$X$32</f>
        <v>0</v>
      </c>
      <c r="Y74" s="26">
        <f>$I$32*$Y$32</f>
        <v>0</v>
      </c>
      <c r="Z74" s="26">
        <f>$I$32*$Z$32</f>
        <v>0</v>
      </c>
      <c r="AA74" s="26">
        <f>$I$32*$AA$32</f>
        <v>0</v>
      </c>
      <c r="AB74" s="26">
        <f>$I$32*$AB$32</f>
        <v>0</v>
      </c>
      <c r="AC74" s="26">
        <f>$I$32*$AC$32</f>
        <v>0</v>
      </c>
      <c r="AD74" s="26">
        <f>$I$32*$AD$32</f>
        <v>0</v>
      </c>
      <c r="AE74" s="26">
        <f>$I$32*$AE$32</f>
        <v>0</v>
      </c>
      <c r="AF74" s="26">
        <f>$I$32*$AF$32</f>
        <v>0</v>
      </c>
      <c r="AG74" s="26">
        <f>$I$32*$AG$32</f>
        <v>0</v>
      </c>
      <c r="AH74" s="26">
        <f>$I$32*$AH$32</f>
        <v>0</v>
      </c>
    </row>
    <row r="75" spans="1:34" ht="11.25" customHeight="1" x14ac:dyDescent="0.3">
      <c r="A75" s="9" t="s">
        <v>42</v>
      </c>
      <c r="B75" s="9" t="s">
        <v>990</v>
      </c>
      <c r="C75" s="9" t="s">
        <v>991</v>
      </c>
      <c r="D75" s="9" t="s">
        <v>996</v>
      </c>
      <c r="E75" s="9" t="s">
        <v>997</v>
      </c>
      <c r="F75" s="9" t="s">
        <v>998</v>
      </c>
      <c r="G75" s="9" t="s">
        <v>999</v>
      </c>
      <c r="L75" s="26">
        <f>$I$33*$L$33</f>
        <v>0</v>
      </c>
      <c r="M75" s="26">
        <f>$I$33*$M$33</f>
        <v>0</v>
      </c>
      <c r="N75" s="26">
        <f>$I$33*$N$33</f>
        <v>0</v>
      </c>
      <c r="O75" s="26">
        <f>$I$33*$O$33</f>
        <v>0</v>
      </c>
      <c r="P75" s="26">
        <f>$I$33*$P$33</f>
        <v>0</v>
      </c>
      <c r="Q75" s="26">
        <f>$I$33*$Q$33</f>
        <v>0</v>
      </c>
      <c r="R75" s="26">
        <f>$I$33*$R$33</f>
        <v>0</v>
      </c>
      <c r="S75" s="26">
        <f>$I$33*$S$33</f>
        <v>0</v>
      </c>
      <c r="T75" s="26">
        <f>$I$33*$T$33</f>
        <v>0</v>
      </c>
      <c r="U75" s="26">
        <f>$I$33*$U$33</f>
        <v>0</v>
      </c>
      <c r="V75" s="26">
        <f>$I$33*$V$33</f>
        <v>0</v>
      </c>
      <c r="X75" s="26">
        <f>$I$33*$X$33</f>
        <v>0</v>
      </c>
      <c r="Y75" s="26">
        <f>$I$33*$Y$33</f>
        <v>0</v>
      </c>
      <c r="Z75" s="26">
        <f>$I$33*$Z$33</f>
        <v>0</v>
      </c>
      <c r="AA75" s="26">
        <f>$I$33*$AA$33</f>
        <v>0</v>
      </c>
      <c r="AB75" s="26">
        <f>$I$33*$AB$33</f>
        <v>0</v>
      </c>
      <c r="AC75" s="26">
        <f>$I$33*$AC$33</f>
        <v>0</v>
      </c>
      <c r="AD75" s="26">
        <f>$I$33*$AD$33</f>
        <v>0</v>
      </c>
      <c r="AE75" s="26">
        <f>$I$33*$AE$33</f>
        <v>0</v>
      </c>
      <c r="AF75" s="26">
        <f>$I$33*$AF$33</f>
        <v>0</v>
      </c>
      <c r="AG75" s="26">
        <f>$I$33*$AG$33</f>
        <v>0</v>
      </c>
      <c r="AH75" s="26">
        <f>$I$33*$AH$33</f>
        <v>0</v>
      </c>
    </row>
    <row r="76" spans="1:34" ht="11.25" customHeight="1" x14ac:dyDescent="0.3">
      <c r="A76" s="9" t="s">
        <v>42</v>
      </c>
      <c r="B76" s="9" t="s">
        <v>990</v>
      </c>
      <c r="C76" s="9" t="s">
        <v>991</v>
      </c>
      <c r="D76" s="9" t="s">
        <v>1000</v>
      </c>
      <c r="E76" s="9" t="s">
        <v>1001</v>
      </c>
      <c r="F76" s="9" t="s">
        <v>1002</v>
      </c>
      <c r="G76" s="9" t="s">
        <v>1003</v>
      </c>
      <c r="L76" s="26">
        <f>$I$34*$L$34</f>
        <v>0</v>
      </c>
      <c r="M76" s="26">
        <f>$I$34*$M$34</f>
        <v>0</v>
      </c>
      <c r="N76" s="26">
        <f>$I$34*$N$34</f>
        <v>0</v>
      </c>
      <c r="O76" s="26">
        <f>$I$34*$O$34</f>
        <v>0</v>
      </c>
      <c r="P76" s="26">
        <f>$I$34*$P$34</f>
        <v>0</v>
      </c>
      <c r="Q76" s="26">
        <f>$I$34*$Q$34</f>
        <v>0</v>
      </c>
      <c r="R76" s="26">
        <f>$I$34*$R$34</f>
        <v>0</v>
      </c>
      <c r="S76" s="26">
        <f>$I$34*$S$34</f>
        <v>0</v>
      </c>
      <c r="T76" s="26">
        <f>$I$34*$T$34</f>
        <v>0</v>
      </c>
      <c r="U76" s="26">
        <f>$I$34*$U$34</f>
        <v>0</v>
      </c>
      <c r="V76" s="26">
        <f>$I$34*$V$34</f>
        <v>0</v>
      </c>
      <c r="X76" s="26">
        <f>$I$34*$X$34</f>
        <v>0</v>
      </c>
      <c r="Y76" s="26">
        <f>$I$34*$Y$34</f>
        <v>0</v>
      </c>
      <c r="Z76" s="26">
        <f>$I$34*$Z$34</f>
        <v>0</v>
      </c>
      <c r="AA76" s="26">
        <f>$I$34*$AA$34</f>
        <v>0</v>
      </c>
      <c r="AB76" s="26">
        <f>$I$34*$AB$34</f>
        <v>0</v>
      </c>
      <c r="AC76" s="26">
        <f>$I$34*$AC$34</f>
        <v>0</v>
      </c>
      <c r="AD76" s="26">
        <f>$I$34*$AD$34</f>
        <v>0</v>
      </c>
      <c r="AE76" s="26">
        <f>$I$34*$AE$34</f>
        <v>0</v>
      </c>
      <c r="AF76" s="26">
        <f>$I$34*$AF$34</f>
        <v>0</v>
      </c>
      <c r="AG76" s="26">
        <f>$I$34*$AG$34</f>
        <v>0</v>
      </c>
      <c r="AH76" s="26">
        <f>$I$34*$AH$34</f>
        <v>0</v>
      </c>
    </row>
    <row r="77" spans="1:34" ht="11.25" customHeight="1" x14ac:dyDescent="0.3">
      <c r="A77" s="9" t="s">
        <v>33</v>
      </c>
      <c r="B77" s="9" t="s">
        <v>1004</v>
      </c>
      <c r="C77" s="9" t="s">
        <v>1005</v>
      </c>
      <c r="D77" s="9" t="s">
        <v>1006</v>
      </c>
      <c r="E77" s="9" t="s">
        <v>1007</v>
      </c>
      <c r="F77" s="9" t="s">
        <v>1008</v>
      </c>
      <c r="G77" s="9" t="s">
        <v>1009</v>
      </c>
      <c r="L77" s="26">
        <f>$I$35*$L$35</f>
        <v>0</v>
      </c>
      <c r="M77" s="26">
        <f>$I$35*$M$35</f>
        <v>28.343929698975398</v>
      </c>
      <c r="N77" s="26">
        <f>$I$35*$N$35</f>
        <v>0</v>
      </c>
      <c r="O77" s="26">
        <f>$I$35*$O$35</f>
        <v>0</v>
      </c>
      <c r="P77" s="26">
        <f>$I$35*$P$35</f>
        <v>-12.018272233607599</v>
      </c>
      <c r="Q77" s="26">
        <f>$I$35*$Q$35</f>
        <v>143.66311248143663</v>
      </c>
      <c r="R77" s="26">
        <f>$I$35*$R$35</f>
        <v>0</v>
      </c>
      <c r="S77" s="26">
        <f>$I$35*$S$35</f>
        <v>0</v>
      </c>
      <c r="T77" s="26">
        <f>$I$35*$T$35</f>
        <v>0</v>
      </c>
      <c r="U77" s="26">
        <f>$I$35*$U$35</f>
        <v>0</v>
      </c>
      <c r="V77" s="26">
        <f>$I$35*$V$35</f>
        <v>5.8057522600154252</v>
      </c>
      <c r="X77" s="26">
        <f>$I$35*$X$35</f>
        <v>0</v>
      </c>
      <c r="Y77" s="26">
        <f>$I$35*$Y$35</f>
        <v>3.8252538095598703</v>
      </c>
      <c r="Z77" s="26">
        <f>$I$35*$Z$35</f>
        <v>0</v>
      </c>
      <c r="AA77" s="26">
        <f>$I$35*$AA$35</f>
        <v>0</v>
      </c>
      <c r="AB77" s="26">
        <f>$I$35*$AB$35</f>
        <v>0</v>
      </c>
      <c r="AC77" s="26">
        <f>$I$35*$AC$35</f>
        <v>206.53315487219396</v>
      </c>
      <c r="AD77" s="26">
        <f>$I$35*$AD$35</f>
        <v>0</v>
      </c>
      <c r="AE77" s="26">
        <f>$I$35*$AE$35</f>
        <v>0</v>
      </c>
      <c r="AF77" s="26">
        <f>$I$35*$AF$35</f>
        <v>0</v>
      </c>
      <c r="AG77" s="26">
        <f>$I$35*$AG$35</f>
        <v>0</v>
      </c>
      <c r="AH77" s="26">
        <f>$I$35*$AH$35</f>
        <v>0</v>
      </c>
    </row>
    <row r="78" spans="1:34" ht="11.25" customHeight="1" x14ac:dyDescent="0.3">
      <c r="A78" s="9" t="s">
        <v>33</v>
      </c>
      <c r="B78" s="9" t="s">
        <v>1004</v>
      </c>
      <c r="C78" s="9" t="s">
        <v>1005</v>
      </c>
      <c r="D78" s="9" t="s">
        <v>1006</v>
      </c>
      <c r="E78" s="9" t="s">
        <v>1007</v>
      </c>
      <c r="F78" s="9" t="s">
        <v>1008</v>
      </c>
      <c r="G78" s="9" t="s">
        <v>1010</v>
      </c>
      <c r="L78" s="26">
        <f>$I$36*$L$36</f>
        <v>0</v>
      </c>
      <c r="M78" s="26">
        <f>$I$36*$M$36</f>
        <v>18.776220710726797</v>
      </c>
      <c r="N78" s="26">
        <f>$I$36*$N$36</f>
        <v>0</v>
      </c>
      <c r="O78" s="26">
        <f>$I$36*$O$36</f>
        <v>0</v>
      </c>
      <c r="P78" s="26">
        <f>$I$36*$P$36</f>
        <v>-7.9614130579773876</v>
      </c>
      <c r="Q78" s="26">
        <f>$I$36*$Q$36</f>
        <v>95.168536494039273</v>
      </c>
      <c r="R78" s="26">
        <f>$I$36*$R$36</f>
        <v>0</v>
      </c>
      <c r="S78" s="26">
        <f>$I$36*$S$36</f>
        <v>0</v>
      </c>
      <c r="T78" s="26">
        <f>$I$36*$T$36</f>
        <v>0</v>
      </c>
      <c r="U78" s="26">
        <f>$I$36*$U$36</f>
        <v>0</v>
      </c>
      <c r="V78" s="26">
        <f>$I$36*$V$36</f>
        <v>3.8459764395263485</v>
      </c>
      <c r="X78" s="26">
        <f>$I$36*$X$36</f>
        <v>0</v>
      </c>
      <c r="Y78" s="26">
        <f>$I$36*$Y$36</f>
        <v>2.5340103001116661</v>
      </c>
      <c r="Z78" s="26">
        <f>$I$36*$Z$36</f>
        <v>0</v>
      </c>
      <c r="AA78" s="26">
        <f>$I$36*$AA$36</f>
        <v>0</v>
      </c>
      <c r="AB78" s="26">
        <f>$I$36*$AB$36</f>
        <v>0</v>
      </c>
      <c r="AC78" s="26">
        <f>$I$36*$AC$36</f>
        <v>136.81631803169537</v>
      </c>
      <c r="AD78" s="26">
        <f>$I$36*$AD$36</f>
        <v>0</v>
      </c>
      <c r="AE78" s="26">
        <f>$I$36*$AE$36</f>
        <v>0</v>
      </c>
      <c r="AF78" s="26">
        <f>$I$36*$AF$36</f>
        <v>0</v>
      </c>
      <c r="AG78" s="26">
        <f>$I$36*$AG$36</f>
        <v>0</v>
      </c>
      <c r="AH78" s="26">
        <f>$I$36*$AH$36</f>
        <v>0</v>
      </c>
    </row>
    <row r="79" spans="1:34" ht="11.25" customHeight="1" x14ac:dyDescent="0.3">
      <c r="A79" s="9" t="s">
        <v>33</v>
      </c>
      <c r="B79" s="9" t="s">
        <v>1004</v>
      </c>
      <c r="C79" s="9" t="s">
        <v>1005</v>
      </c>
      <c r="D79" s="9" t="s">
        <v>1006</v>
      </c>
      <c r="E79" s="9" t="s">
        <v>1007</v>
      </c>
      <c r="F79" s="9" t="s">
        <v>1008</v>
      </c>
      <c r="G79" s="9" t="s">
        <v>1011</v>
      </c>
      <c r="L79" s="26">
        <f>$I$37*$L$37</f>
        <v>0</v>
      </c>
      <c r="M79" s="26">
        <f>$I$37*$M$37</f>
        <v>313.44859583002869</v>
      </c>
      <c r="N79" s="26">
        <f>$I$37*$N$37</f>
        <v>0</v>
      </c>
      <c r="O79" s="26">
        <f>$I$37*$O$37</f>
        <v>0</v>
      </c>
      <c r="P79" s="26">
        <f>$I$37*$P$37</f>
        <v>-132.90713729308681</v>
      </c>
      <c r="Q79" s="26">
        <f>$I$37*$Q$37</f>
        <v>1588.7352727065788</v>
      </c>
      <c r="R79" s="26">
        <f>$I$37*$R$37</f>
        <v>0</v>
      </c>
      <c r="S79" s="26">
        <f>$I$37*$S$37</f>
        <v>0</v>
      </c>
      <c r="T79" s="26">
        <f>$I$37*$T$37</f>
        <v>0</v>
      </c>
      <c r="U79" s="26">
        <f>$I$37*$U$37</f>
        <v>0</v>
      </c>
      <c r="V79" s="26">
        <f>$I$37*$V$37</f>
        <v>64.204396248718979</v>
      </c>
      <c r="X79" s="26">
        <f>$I$37*$X$37</f>
        <v>0</v>
      </c>
      <c r="Y79" s="26">
        <f>$I$37*$Y$37</f>
        <v>42.30254760134239</v>
      </c>
      <c r="Z79" s="26">
        <f>$I$37*$Z$37</f>
        <v>0</v>
      </c>
      <c r="AA79" s="26">
        <f>$I$37*$AA$37</f>
        <v>0</v>
      </c>
      <c r="AB79" s="26">
        <f>$I$37*$AB$37</f>
        <v>0</v>
      </c>
      <c r="AC79" s="26">
        <f>$I$37*$AC$37</f>
        <v>2283.9997161499887</v>
      </c>
      <c r="AD79" s="26">
        <f>$I$37*$AD$37</f>
        <v>0</v>
      </c>
      <c r="AE79" s="26">
        <f>$I$37*$AE$37</f>
        <v>0</v>
      </c>
      <c r="AF79" s="26">
        <f>$I$37*$AF$37</f>
        <v>0</v>
      </c>
      <c r="AG79" s="26">
        <f>$I$37*$AG$37</f>
        <v>0</v>
      </c>
      <c r="AH79" s="26">
        <f>$I$37*$AH$37</f>
        <v>0</v>
      </c>
    </row>
    <row r="80" spans="1:34" ht="11.25" customHeight="1" x14ac:dyDescent="0.3">
      <c r="A80" s="9" t="s">
        <v>33</v>
      </c>
      <c r="B80" s="9" t="s">
        <v>1012</v>
      </c>
      <c r="C80" s="9" t="s">
        <v>1013</v>
      </c>
      <c r="D80" s="9" t="s">
        <v>1014</v>
      </c>
      <c r="E80" s="9" t="s">
        <v>1015</v>
      </c>
      <c r="F80" s="9" t="s">
        <v>1016</v>
      </c>
      <c r="G80" s="9" t="s">
        <v>1017</v>
      </c>
      <c r="L80" s="26">
        <f>$I$38*$L$38</f>
        <v>0</v>
      </c>
      <c r="M80" s="26">
        <f>$I$38*$M$38</f>
        <v>105603.86551931762</v>
      </c>
      <c r="N80" s="26">
        <f>$I$38*$N$38</f>
        <v>0</v>
      </c>
      <c r="O80" s="26">
        <f>$I$38*$O$38</f>
        <v>0</v>
      </c>
      <c r="P80" s="26">
        <f>$I$38*$P$38</f>
        <v>-44777.700841472426</v>
      </c>
      <c r="Q80" s="26">
        <f>$I$38*$Q$38</f>
        <v>535260.28930013406</v>
      </c>
      <c r="R80" s="26">
        <f>$I$38*$R$38</f>
        <v>0</v>
      </c>
      <c r="S80" s="26">
        <f>$I$38*$S$38</f>
        <v>0</v>
      </c>
      <c r="T80" s="26">
        <f>$I$38*$T$38</f>
        <v>0</v>
      </c>
      <c r="U80" s="26">
        <f>$I$38*$U$38</f>
        <v>0</v>
      </c>
      <c r="V80" s="26">
        <f>$I$38*$V$38</f>
        <v>21631.082472212966</v>
      </c>
      <c r="X80" s="26">
        <f>$I$38*$X$38</f>
        <v>0</v>
      </c>
      <c r="Y80" s="26">
        <f>$I$38*$Y$38</f>
        <v>14252.137694817267</v>
      </c>
      <c r="Z80" s="26">
        <f>$I$38*$Z$38</f>
        <v>0</v>
      </c>
      <c r="AA80" s="26">
        <f>$I$38*$AA$38</f>
        <v>0</v>
      </c>
      <c r="AB80" s="26">
        <f>$I$38*$AB$38</f>
        <v>0</v>
      </c>
      <c r="AC80" s="26">
        <f>$I$38*$AC$38</f>
        <v>769501.60912909696</v>
      </c>
      <c r="AD80" s="26">
        <f>$I$38*$AD$38</f>
        <v>0</v>
      </c>
      <c r="AE80" s="26">
        <f>$I$38*$AE$38</f>
        <v>0</v>
      </c>
      <c r="AF80" s="26">
        <f>$I$38*$AF$38</f>
        <v>0</v>
      </c>
      <c r="AG80" s="26">
        <f>$I$38*$AG$38</f>
        <v>0</v>
      </c>
      <c r="AH80" s="26">
        <f>$I$38*$AH$38</f>
        <v>0</v>
      </c>
    </row>
    <row r="81" spans="1:34" ht="11.25" customHeight="1" x14ac:dyDescent="0.3">
      <c r="A81" s="9" t="s">
        <v>33</v>
      </c>
      <c r="B81" s="9" t="s">
        <v>1018</v>
      </c>
      <c r="C81" s="9" t="s">
        <v>1019</v>
      </c>
      <c r="D81" s="9" t="s">
        <v>1020</v>
      </c>
      <c r="E81" s="9" t="s">
        <v>1021</v>
      </c>
      <c r="F81" s="9" t="s">
        <v>1022</v>
      </c>
      <c r="G81" s="9" t="s">
        <v>1023</v>
      </c>
      <c r="L81" s="26">
        <f>$I$39*$L$39</f>
        <v>0</v>
      </c>
      <c r="M81" s="26">
        <f>$I$39*$M$39</f>
        <v>0</v>
      </c>
      <c r="N81" s="26">
        <f>$I$39*$N$39</f>
        <v>0</v>
      </c>
      <c r="O81" s="26">
        <f>$I$39*$O$39</f>
        <v>0</v>
      </c>
      <c r="P81" s="26">
        <f>$I$39*$P$39</f>
        <v>0</v>
      </c>
      <c r="Q81" s="26">
        <f>$I$39*$Q$39</f>
        <v>0</v>
      </c>
      <c r="R81" s="26">
        <f>$I$39*$R$39</f>
        <v>0</v>
      </c>
      <c r="S81" s="26">
        <f>$I$39*$S$39</f>
        <v>0</v>
      </c>
      <c r="T81" s="26">
        <f>$I$39*$T$39</f>
        <v>0</v>
      </c>
      <c r="U81" s="26">
        <f>$I$39*$U$39</f>
        <v>0</v>
      </c>
      <c r="V81" s="26">
        <f>$I$39*$V$39</f>
        <v>0</v>
      </c>
      <c r="X81" s="26">
        <f>$I$39*$X$39</f>
        <v>0</v>
      </c>
      <c r="Y81" s="26">
        <f>$I$39*$Y$39</f>
        <v>0</v>
      </c>
      <c r="Z81" s="26">
        <f>$I$39*$Z$39</f>
        <v>0</v>
      </c>
      <c r="AA81" s="26">
        <f>$I$39*$AA$39</f>
        <v>0</v>
      </c>
      <c r="AB81" s="26">
        <f>$I$39*$AB$39</f>
        <v>0</v>
      </c>
      <c r="AC81" s="26">
        <f>$I$39*$AC$39</f>
        <v>0</v>
      </c>
      <c r="AD81" s="26">
        <f>$I$39*$AD$39</f>
        <v>0</v>
      </c>
      <c r="AE81" s="26">
        <f>$I$39*$AE$39</f>
        <v>0</v>
      </c>
      <c r="AF81" s="26">
        <f>$I$39*$AF$39</f>
        <v>0</v>
      </c>
      <c r="AG81" s="26">
        <f>$I$39*$AG$39</f>
        <v>0</v>
      </c>
      <c r="AH81" s="26">
        <f>$I$39*$AH$39</f>
        <v>0</v>
      </c>
    </row>
    <row r="82" spans="1:34" ht="11.25" customHeight="1" x14ac:dyDescent="0.3">
      <c r="A82" s="9" t="s">
        <v>45</v>
      </c>
      <c r="B82" s="9" t="s">
        <v>1024</v>
      </c>
      <c r="C82" s="9" t="s">
        <v>1025</v>
      </c>
      <c r="D82" s="9" t="s">
        <v>1026</v>
      </c>
      <c r="E82" s="9" t="s">
        <v>1027</v>
      </c>
      <c r="F82" s="9" t="s">
        <v>1028</v>
      </c>
      <c r="G82" s="9" t="s">
        <v>1029</v>
      </c>
      <c r="L82" s="26">
        <f>$I$40*$L$40</f>
        <v>0</v>
      </c>
      <c r="M82" s="26">
        <f>$I$40*$M$40</f>
        <v>21731.937455282827</v>
      </c>
      <c r="N82" s="26">
        <f>$I$40*$N$40</f>
        <v>0</v>
      </c>
      <c r="O82" s="26">
        <f>$I$40*$O$40</f>
        <v>0</v>
      </c>
      <c r="P82" s="26">
        <f>$I$40*$P$40</f>
        <v>-9214.6834710348576</v>
      </c>
      <c r="Q82" s="26">
        <f>$I$40*$Q$40</f>
        <v>110149.78544738283</v>
      </c>
      <c r="R82" s="26">
        <f>$I$40*$R$40</f>
        <v>0</v>
      </c>
      <c r="S82" s="26">
        <f>$I$40*$S$40</f>
        <v>0</v>
      </c>
      <c r="T82" s="26">
        <f>$I$40*$T$40</f>
        <v>0</v>
      </c>
      <c r="U82" s="26">
        <f>$I$40*$U$40</f>
        <v>0</v>
      </c>
      <c r="V82" s="26">
        <f>$I$40*$V$40</f>
        <v>4451.4026931164408</v>
      </c>
      <c r="X82" s="26">
        <f>$I$40*$X$40</f>
        <v>0</v>
      </c>
      <c r="Y82" s="26">
        <f>$I$40*$Y$40</f>
        <v>2932.9093538833708</v>
      </c>
      <c r="Z82" s="26">
        <f>$I$40*$Z$40</f>
        <v>0</v>
      </c>
      <c r="AA82" s="26">
        <f>$I$40*$AA$40</f>
        <v>0</v>
      </c>
      <c r="AB82" s="26">
        <f>$I$40*$AB$40</f>
        <v>0</v>
      </c>
      <c r="AC82" s="26">
        <f>$I$40*$AC$40</f>
        <v>158353.68108067999</v>
      </c>
      <c r="AD82" s="26">
        <f>$I$40*$AD$40</f>
        <v>0</v>
      </c>
      <c r="AE82" s="26">
        <f>$I$40*$AE$40</f>
        <v>0</v>
      </c>
      <c r="AF82" s="26">
        <f>$I$40*$AF$40</f>
        <v>0</v>
      </c>
      <c r="AG82" s="26">
        <f>$I$40*$AG$40</f>
        <v>0</v>
      </c>
      <c r="AH82" s="26">
        <f>$I$40*$AH$40</f>
        <v>0</v>
      </c>
    </row>
    <row r="83" spans="1:34" ht="11.25" customHeight="1" x14ac:dyDescent="0.3">
      <c r="A83" s="9" t="s">
        <v>45</v>
      </c>
      <c r="B83" s="9" t="s">
        <v>1024</v>
      </c>
      <c r="C83" s="9" t="s">
        <v>1025</v>
      </c>
      <c r="D83" s="9" t="s">
        <v>1030</v>
      </c>
      <c r="E83" s="9" t="s">
        <v>1031</v>
      </c>
      <c r="F83" s="9" t="s">
        <v>1032</v>
      </c>
      <c r="G83" s="9" t="s">
        <v>1033</v>
      </c>
      <c r="L83" s="26">
        <f>$I$41*$L$41</f>
        <v>0</v>
      </c>
      <c r="M83" s="26">
        <f>$I$41*$M$41</f>
        <v>0</v>
      </c>
      <c r="N83" s="26">
        <f>$I$41*$N$41</f>
        <v>0</v>
      </c>
      <c r="O83" s="26">
        <f>$I$41*$O$41</f>
        <v>0</v>
      </c>
      <c r="P83" s="26">
        <f>$I$41*$P$41</f>
        <v>0</v>
      </c>
      <c r="Q83" s="26">
        <f>$I$41*$Q$41</f>
        <v>0</v>
      </c>
      <c r="R83" s="26">
        <f>$I$41*$R$41</f>
        <v>0</v>
      </c>
      <c r="S83" s="26">
        <f>$I$41*$S$41</f>
        <v>0</v>
      </c>
      <c r="T83" s="26">
        <f>$I$41*$T$41</f>
        <v>0</v>
      </c>
      <c r="U83" s="26">
        <f>$I$41*$U$41</f>
        <v>0</v>
      </c>
      <c r="V83" s="26">
        <f>$I$41*$V$41</f>
        <v>0</v>
      </c>
      <c r="X83" s="26">
        <f>$I$41*$X$41</f>
        <v>0</v>
      </c>
      <c r="Y83" s="26">
        <f>$I$41*$Y$41</f>
        <v>0</v>
      </c>
      <c r="Z83" s="26">
        <f>$I$41*$Z$41</f>
        <v>0</v>
      </c>
      <c r="AA83" s="26">
        <f>$I$41*$AA$41</f>
        <v>0</v>
      </c>
      <c r="AB83" s="26">
        <f>$I$41*$AB$41</f>
        <v>0</v>
      </c>
      <c r="AC83" s="26">
        <f>$I$41*$AC$41</f>
        <v>0</v>
      </c>
      <c r="AD83" s="26">
        <f>$I$41*$AD$41</f>
        <v>0</v>
      </c>
      <c r="AE83" s="26">
        <f>$I$41*$AE$41</f>
        <v>0</v>
      </c>
      <c r="AF83" s="26">
        <f>$I$41*$AF$41</f>
        <v>0</v>
      </c>
      <c r="AG83" s="26">
        <f>$I$41*$AG$41</f>
        <v>0</v>
      </c>
      <c r="AH83" s="26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5B30-EC8E-4503-A25A-B2A67BA95AB2}">
  <dimension ref="A1:AG15"/>
  <sheetViews>
    <sheetView showGridLines="0" workbookViewId="0">
      <selection activeCell="J15" sqref="J15"/>
    </sheetView>
  </sheetViews>
  <sheetFormatPr defaultColWidth="9.109375" defaultRowHeight="10.199999999999999" x14ac:dyDescent="0.2"/>
  <cols>
    <col min="1" max="1" width="19.109375" style="14" bestFit="1" customWidth="1"/>
    <col min="2" max="2" width="12.44140625" style="14" bestFit="1" customWidth="1"/>
    <col min="3" max="7" width="10.33203125" style="14" bestFit="1" customWidth="1"/>
    <col min="8" max="8" width="8.6640625" style="14" bestFit="1" customWidth="1"/>
    <col min="9" max="9" width="8" style="14" bestFit="1" customWidth="1"/>
    <col min="10" max="10" width="7.33203125" style="14" bestFit="1" customWidth="1"/>
    <col min="11" max="11" width="7.109375" style="14" bestFit="1" customWidth="1"/>
    <col min="12" max="12" width="9.5546875" style="14" bestFit="1" customWidth="1"/>
    <col min="13" max="13" width="9.6640625" style="14" bestFit="1" customWidth="1"/>
    <col min="14" max="14" width="10" style="14" bestFit="1" customWidth="1"/>
    <col min="15" max="15" width="7.44140625" style="14" bestFit="1" customWidth="1"/>
    <col min="16" max="16" width="9.6640625" style="14" bestFit="1" customWidth="1"/>
    <col min="17" max="17" width="11" style="14" bestFit="1" customWidth="1"/>
    <col min="18" max="18" width="7.6640625" style="14" bestFit="1" customWidth="1"/>
    <col min="19" max="19" width="7.109375" style="14" bestFit="1" customWidth="1"/>
    <col min="20" max="20" width="14.5546875" style="14" bestFit="1" customWidth="1"/>
    <col min="21" max="21" width="17.6640625" style="14" bestFit="1" customWidth="1"/>
    <col min="22" max="22" width="18.44140625" style="14" bestFit="1" customWidth="1"/>
    <col min="23" max="23" width="6" style="14" bestFit="1" customWidth="1"/>
    <col min="24" max="24" width="10.88671875" style="14" bestFit="1" customWidth="1"/>
    <col min="25" max="26" width="9.109375" style="14"/>
    <col min="27" max="27" width="3" style="14" bestFit="1" customWidth="1"/>
    <col min="28" max="28" width="21.5546875" style="14" bestFit="1" customWidth="1"/>
    <col min="29" max="29" width="13.5546875" style="14" bestFit="1" customWidth="1"/>
    <col min="30" max="30" width="25.109375" style="14" bestFit="1" customWidth="1"/>
    <col min="31" max="33" width="10.33203125" style="14" bestFit="1" customWidth="1"/>
    <col min="34" max="16384" width="9.10937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1041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82</v>
      </c>
      <c r="AB2" s="14" t="s">
        <v>75</v>
      </c>
      <c r="AC2" s="14" t="s">
        <v>24</v>
      </c>
      <c r="AD2" s="14" t="s">
        <v>24</v>
      </c>
      <c r="AE2" s="14" t="s">
        <v>80</v>
      </c>
      <c r="AG2" s="14" t="s">
        <v>77</v>
      </c>
    </row>
    <row r="3" spans="1:33" x14ac:dyDescent="0.2">
      <c r="AA3" s="14" t="s">
        <v>22</v>
      </c>
      <c r="AB3" s="14" t="s">
        <v>81</v>
      </c>
      <c r="AC3" s="14" t="s">
        <v>43</v>
      </c>
      <c r="AD3" s="14" t="s">
        <v>29</v>
      </c>
      <c r="AE3" s="14" t="s">
        <v>83</v>
      </c>
      <c r="AG3" s="14" t="s">
        <v>78</v>
      </c>
    </row>
    <row r="4" spans="1:33" x14ac:dyDescent="0.2">
      <c r="AA4" s="14" t="s">
        <v>42</v>
      </c>
      <c r="AB4" s="14" t="s">
        <v>36</v>
      </c>
      <c r="AC4" s="14" t="s">
        <v>46</v>
      </c>
      <c r="AD4" s="14" t="s">
        <v>30</v>
      </c>
      <c r="AE4" s="14" t="s">
        <v>84</v>
      </c>
      <c r="AG4" s="14" t="s">
        <v>79</v>
      </c>
    </row>
    <row r="5" spans="1:33" x14ac:dyDescent="0.2">
      <c r="A5" s="14" t="s">
        <v>1034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461</v>
      </c>
      <c r="AA5" s="14" t="s">
        <v>33</v>
      </c>
      <c r="AB5" s="14" t="s">
        <v>40</v>
      </c>
      <c r="AD5" s="14" t="s">
        <v>31</v>
      </c>
      <c r="AG5" s="14" t="s">
        <v>9</v>
      </c>
    </row>
    <row r="6" spans="1:33" x14ac:dyDescent="0.2">
      <c r="A6" s="14" t="s">
        <v>1035</v>
      </c>
      <c r="B6" s="45">
        <f>SUM(TUSD!$AI$57:'TUSD'!$AI$103)</f>
        <v>0</v>
      </c>
      <c r="C6" s="45">
        <f>SUM(TUSD!$AJ$57:'TUSD'!$AJ$103)</f>
        <v>32603.926913037772</v>
      </c>
      <c r="D6" s="45">
        <f>SUM(TUSD!$AK$57:'TUSD'!$AK$103)</f>
        <v>0</v>
      </c>
      <c r="E6" s="45">
        <f>SUM(TUSD!$AL$57:'TUSD'!$AL$103)</f>
        <v>0</v>
      </c>
      <c r="F6" s="45">
        <f>SUM(TUSD!$AM$57:'TUSD'!$AM$103)</f>
        <v>0</v>
      </c>
      <c r="G6" s="45">
        <f>SUM(TUSD!$AN$57:'TUSD'!$AN$103)</f>
        <v>2133812.4688428384</v>
      </c>
      <c r="H6" s="45">
        <f>SUM(TUSD!$AO$57:'TUSD'!$AO$103)</f>
        <v>362459.72658621852</v>
      </c>
      <c r="I6" s="45">
        <f>SUM(TUSD!$AP$57:'TUSD'!$AP$103)</f>
        <v>0</v>
      </c>
      <c r="J6" s="45">
        <f>SUM(TUSD!$AQ$57:'TUSD'!$AQ$103)</f>
        <v>0</v>
      </c>
      <c r="K6" s="45">
        <f>SUM(TUSD!$AR$57:'TUSD'!$AR$103)</f>
        <v>0</v>
      </c>
      <c r="L6" s="45">
        <f>SUM(TUSD!$AS$57:'TUSD'!$AS$103)</f>
        <v>0</v>
      </c>
      <c r="M6" s="45">
        <f>SUM(TUSD!$AT$57:'TUSD'!$AT$103)</f>
        <v>0</v>
      </c>
      <c r="N6" s="45">
        <f>SUM(TUSD!$AU$57:'TUSD'!$AU$103)</f>
        <v>3298599.1843129676</v>
      </c>
      <c r="O6" s="45">
        <f>SUM(TUSD!$AV$57:'TUSD'!$AV$103)</f>
        <v>0</v>
      </c>
      <c r="P6" s="45">
        <f>SUM(TUSD!$AW$57:'TUSD'!$AW$103)</f>
        <v>0</v>
      </c>
      <c r="Q6" s="45">
        <f>SUM(TUSD!$AX$57:'TUSD'!$AX$103)</f>
        <v>4093100.0582808005</v>
      </c>
      <c r="R6" s="45">
        <f>SUM(TUSD!$AY$57:'TUSD'!$AY$103)</f>
        <v>0</v>
      </c>
      <c r="S6" s="45">
        <f>SUM(TUSD!$AZ$57:'TUSD'!$AZ$103)</f>
        <v>0</v>
      </c>
      <c r="T6" s="45">
        <f>SUM(TUSD!$BA$57:'TUSD'!$BA$103)</f>
        <v>59836.964346747023</v>
      </c>
      <c r="U6" s="45">
        <f>SUM(TUSD!$BB$57:'TUSD'!$BB$103)</f>
        <v>0</v>
      </c>
      <c r="V6" s="45">
        <f>SUM(TUSD!$BC$57:'TUSD'!$BC$103)</f>
        <v>0</v>
      </c>
      <c r="W6" s="45">
        <f>SUM(TUSD!$BD$57:'TUSD'!$BD$103)</f>
        <v>0</v>
      </c>
      <c r="X6" s="45">
        <f t="shared" ref="X6:X11" si="0">SUM(B6:W6)</f>
        <v>9980412.3292826116</v>
      </c>
      <c r="AA6" s="14" t="s">
        <v>45</v>
      </c>
      <c r="AB6" s="14" t="s">
        <v>23</v>
      </c>
      <c r="AD6" s="14" t="s">
        <v>32</v>
      </c>
      <c r="AG6" s="14" t="s">
        <v>73</v>
      </c>
    </row>
    <row r="7" spans="1:33" x14ac:dyDescent="0.2">
      <c r="A7" s="14" t="s">
        <v>1036</v>
      </c>
      <c r="B7" s="45">
        <f>SUM(TUSD!$L$57:'TUSD'!$L$103)</f>
        <v>0</v>
      </c>
      <c r="C7" s="45">
        <f>SUM(TUSD!$M$57:'TUSD'!$M$103)</f>
        <v>44467.647923651442</v>
      </c>
      <c r="D7" s="45">
        <f ca="1">SUM(TUSD!$N$57:'TUSD'!$N$103)</f>
        <v>0</v>
      </c>
      <c r="E7" s="45">
        <f>SUM(TUSD!$O$57:'TUSD'!$O$103)</f>
        <v>0</v>
      </c>
      <c r="F7" s="45">
        <f>SUM(TUSD!$P$57:'TUSD'!$P$103)</f>
        <v>0</v>
      </c>
      <c r="G7" s="45">
        <f>SUM(TUSD!$Q$57:'TUSD'!$Q$103)</f>
        <v>3145177.5805222476</v>
      </c>
      <c r="H7" s="45">
        <f>SUM(TUSD!$R$57:'TUSD'!$R$103)</f>
        <v>548412.80540436704</v>
      </c>
      <c r="I7" s="45">
        <f>SUM(TUSD!$S$57:'TUSD'!$S$103)</f>
        <v>0</v>
      </c>
      <c r="J7" s="45">
        <f>SUM(TUSD!$T$57:'TUSD'!$T$103)</f>
        <v>0</v>
      </c>
      <c r="K7" s="45">
        <f>SUM(TUSD!$U$57:'TUSD'!$U$103)</f>
        <v>0</v>
      </c>
      <c r="L7" s="45">
        <f>SUM(TUSD!$V$57:'TUSD'!$V$103)</f>
        <v>0</v>
      </c>
      <c r="M7" s="45">
        <f>SUM(TUSD!$W$57:'TUSD'!$W$103)</f>
        <v>0</v>
      </c>
      <c r="N7" s="45">
        <f>SUM(TUSD!$X$57:'TUSD'!$X$103)</f>
        <v>4257528.7209824799</v>
      </c>
      <c r="O7" s="45">
        <f>SUM(TUSD!$Y$57:'TUSD'!$Y$103)</f>
        <v>0</v>
      </c>
      <c r="P7" s="45">
        <f>SUM(TUSD!$Z$57:'TUSD'!$Z$103)</f>
        <v>0</v>
      </c>
      <c r="Q7" s="45">
        <f>SUM(TUSD!$AA$57:'TUSD'!$AA$103)</f>
        <v>6551599.0600013211</v>
      </c>
      <c r="R7" s="45">
        <f ca="1">SUM(TUSD!$AB$57:'TUSD'!$AB$103)</f>
        <v>0</v>
      </c>
      <c r="S7" s="45">
        <f ca="1">SUM(TUSD!$AC$57:'TUSD'!$AC$103)</f>
        <v>0</v>
      </c>
      <c r="T7" s="45">
        <f>SUM(TUSD!$AD$57:'TUSD'!$AD$103)</f>
        <v>45552.493199115568</v>
      </c>
      <c r="U7" s="45">
        <f>SUM(TUSD!$AE$57:'TUSD'!$AE$103)</f>
        <v>1840.8795812096539</v>
      </c>
      <c r="V7" s="45">
        <f ca="1">SUM(TUSD!$AF$57:'TUSD'!$AF$103)</f>
        <v>0</v>
      </c>
      <c r="W7" s="45">
        <f ca="1">SUM(TUSD!$AG$57:'TUSD'!$AG$103)</f>
        <v>0</v>
      </c>
      <c r="X7" s="45">
        <f t="shared" ca="1" si="0"/>
        <v>14594579.187614392</v>
      </c>
      <c r="AB7" s="14" t="s">
        <v>88</v>
      </c>
      <c r="AD7" s="14" t="s">
        <v>89</v>
      </c>
      <c r="AG7" s="14" t="s">
        <v>74</v>
      </c>
    </row>
    <row r="8" spans="1:33" x14ac:dyDescent="0.2">
      <c r="A8" s="14" t="s">
        <v>1039</v>
      </c>
      <c r="B8" s="45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5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16112.561601705775</v>
      </c>
      <c r="D8" s="45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5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5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5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1273831.3156627258</v>
      </c>
      <c r="H8" s="45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228342.80106920929</v>
      </c>
      <c r="I8" s="45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5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5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5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5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5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1904665.1934584635</v>
      </c>
      <c r="O8" s="45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5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5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1967218.9347940614</v>
      </c>
      <c r="R8" s="45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5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5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23435.530111044245</v>
      </c>
      <c r="U8" s="45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5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0</v>
      </c>
      <c r="W8" s="45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5">
        <f t="shared" si="0"/>
        <v>5413606.3366972106</v>
      </c>
      <c r="AD8" s="14" t="s">
        <v>90</v>
      </c>
      <c r="AG8" s="14" t="s">
        <v>85</v>
      </c>
    </row>
    <row r="9" spans="1:33" x14ac:dyDescent="0.2">
      <c r="A9" s="14" t="s">
        <v>1040</v>
      </c>
      <c r="B9" s="45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5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21129.732502285664</v>
      </c>
      <c r="D9" s="45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5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5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5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1833941.4334413209</v>
      </c>
      <c r="H9" s="45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342632.65267834341</v>
      </c>
      <c r="I9" s="45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5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5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5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5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5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2435649.8690267103</v>
      </c>
      <c r="O9" s="45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5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5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3113130.7906265398</v>
      </c>
      <c r="R9" s="45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0</v>
      </c>
      <c r="S9" s="45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5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17605.359098269611</v>
      </c>
      <c r="U9" s="45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711.47249706405489</v>
      </c>
      <c r="V9" s="45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0</v>
      </c>
      <c r="W9" s="45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5">
        <f t="shared" ca="1" si="0"/>
        <v>7764801.3098705327</v>
      </c>
      <c r="AD9" s="14" t="s">
        <v>47</v>
      </c>
    </row>
    <row r="10" spans="1:33" x14ac:dyDescent="0.2">
      <c r="A10" s="14" t="s">
        <v>1037</v>
      </c>
      <c r="B10" s="45">
        <f>SUMIF(TUSD!$A$57:'TUSD'!$A$103,$A$2,TUSD!$AI$57:'TUSD'!$AI$103)</f>
        <v>0</v>
      </c>
      <c r="C10" s="45">
        <f>SUMIF(TUSD!$A$57:'TUSD'!$A$103,$A$2,TUSD!$AJ$57:'TUSD'!$AJ$103)</f>
        <v>16112.561601705775</v>
      </c>
      <c r="D10" s="45">
        <f>SUMIF(TUSD!$A$57:'TUSD'!$A$103,$A$2,TUSD!$AK$57:'TUSD'!$AK$103)</f>
        <v>0</v>
      </c>
      <c r="E10" s="45">
        <f>SUMIF(TUSD!$A$57:'TUSD'!$A$103,$A$2,TUSD!$AL$57:'TUSD'!$AL$103)</f>
        <v>0</v>
      </c>
      <c r="F10" s="45">
        <f>SUMIF(TUSD!$A$57:'TUSD'!$A$103,$A$2,TUSD!$AM$57:'TUSD'!$AM$103)</f>
        <v>0</v>
      </c>
      <c r="G10" s="45">
        <f>SUMIF(TUSD!$A$57:'TUSD'!$A$103,$A$2,TUSD!$AN$57:'TUSD'!$AN$103)</f>
        <v>1273831.3156627258</v>
      </c>
      <c r="H10" s="45">
        <f>SUMIF(TUSD!$A$57:'TUSD'!$A$103,$A$2,TUSD!$AO$57:'TUSD'!$AO$103)</f>
        <v>228342.80106920929</v>
      </c>
      <c r="I10" s="45">
        <f>SUMIF(TUSD!$A$57:'TUSD'!$A$103,$A$2,TUSD!$AP$57:'TUSD'!$AP$103)</f>
        <v>0</v>
      </c>
      <c r="J10" s="45">
        <f>SUMIF(TUSD!$A$57:'TUSD'!$A$103,$A$2,TUSD!$AQ$57:'TUSD'!$AQ$103)</f>
        <v>0</v>
      </c>
      <c r="K10" s="45">
        <f>SUMIF(TUSD!$A$57:'TUSD'!$A$103,$A$2,TUSD!$AR$57:'TUSD'!$AR$103)</f>
        <v>0</v>
      </c>
      <c r="L10" s="45">
        <f>SUMIF(TUSD!$A$57:'TUSD'!$A$103,$A$2,TUSD!$AS$57:'TUSD'!$AS$103)</f>
        <v>0</v>
      </c>
      <c r="M10" s="45">
        <f>SUMIF(TUSD!$A$57:'TUSD'!$A$103,$A$2,TUSD!$AT$57:'TUSD'!$AT$103)</f>
        <v>0</v>
      </c>
      <c r="N10" s="45">
        <f>SUMIF(TUSD!$A$57:'TUSD'!$A$103,$A$2,TUSD!$AU$57:'TUSD'!$AU$103)</f>
        <v>1904665.1934584635</v>
      </c>
      <c r="O10" s="45">
        <f>SUMIF(TUSD!$A$57:'TUSD'!$A$103,$A$2,TUSD!$AV$57:'TUSD'!$AV$103)</f>
        <v>0</v>
      </c>
      <c r="P10" s="45">
        <f>SUMIF(TUSD!$A$57:'TUSD'!$A$103,$A$2,TUSD!$AW$57:'TUSD'!$AW$103)</f>
        <v>0</v>
      </c>
      <c r="Q10" s="45">
        <f>SUMIF(TUSD!$A$57:'TUSD'!$A$103,$A$2,TUSD!$AX$57:'TUSD'!$AX$103)</f>
        <v>1967218.9347940614</v>
      </c>
      <c r="R10" s="45">
        <f>SUMIF(TUSD!$A$57:'TUSD'!$A$103,$A$2,TUSD!$AY$57:'TUSD'!$AY$103)</f>
        <v>0</v>
      </c>
      <c r="S10" s="45">
        <f>SUMIF(TUSD!$A$57:'TUSD'!$A$103,$A$2,TUSD!$AZ$57:'TUSD'!$AZ$103)</f>
        <v>0</v>
      </c>
      <c r="T10" s="45">
        <f>SUMIF(TUSD!$A$57:'TUSD'!$A$103,$A$2,TUSD!$BA$57:'TUSD'!$BA$103)</f>
        <v>23435.530111044245</v>
      </c>
      <c r="U10" s="45">
        <f>SUMIF(TUSD!$A$57:'TUSD'!$A$103,$A$2,TUSD!$BB$57:'TUSD'!$BB$103)</f>
        <v>0</v>
      </c>
      <c r="V10" s="45">
        <f>SUMIF(TUSD!$A$57:'TUSD'!$A$103,$A$2,TUSD!$BC$57:'TUSD'!$BC$103)</f>
        <v>0</v>
      </c>
      <c r="W10" s="45">
        <f>SUMIF(TUSD!$A$57:'TUSD'!$A$103,$A$2,TUSD!$BD$57:'TUSD'!$BD$103)</f>
        <v>0</v>
      </c>
      <c r="X10" s="45">
        <f t="shared" si="0"/>
        <v>5413606.3366972106</v>
      </c>
      <c r="AD10" s="14" t="s">
        <v>91</v>
      </c>
    </row>
    <row r="11" spans="1:33" x14ac:dyDescent="0.2">
      <c r="A11" s="14" t="s">
        <v>1038</v>
      </c>
      <c r="B11" s="45">
        <f>SUMIF(TUSD!$A$57:'TUSD'!$A$103,$A$2,TUSD!$L$57:'TUSD'!$L$103)</f>
        <v>0</v>
      </c>
      <c r="C11" s="45">
        <f>SUMIF(TUSD!$A$57:'TUSD'!$A$103,$A$2,TUSD!$M$57:'TUSD'!$M$103)</f>
        <v>21129.732502285664</v>
      </c>
      <c r="D11" s="45">
        <f ca="1">SUMIF(TUSD!$A$57:'TUSD'!$A$103,$A$2,TUSD!$N$57:'TUSD'!$N$103)</f>
        <v>0</v>
      </c>
      <c r="E11" s="45">
        <f>SUMIF(TUSD!$A$57:'TUSD'!$A$103,$A$2,TUSD!$O$57:'TUSD'!$O$103)</f>
        <v>0</v>
      </c>
      <c r="F11" s="45">
        <f>SUMIF(TUSD!$A$57:'TUSD'!$A$103,$A$2,TUSD!$P$57:'TUSD'!$P$103)</f>
        <v>0</v>
      </c>
      <c r="G11" s="45">
        <f>SUMIF(TUSD!$A$57:'TUSD'!$A$103,$A$2,TUSD!$Q$57:'TUSD'!$Q$103)</f>
        <v>1833941.4334413209</v>
      </c>
      <c r="H11" s="45">
        <f>SUMIF(TUSD!$A$57:'TUSD'!$A$103,$A$2,TUSD!$R$57:'TUSD'!$R$103)</f>
        <v>342632.65267834341</v>
      </c>
      <c r="I11" s="45">
        <f>SUMIF(TUSD!$A$57:'TUSD'!$A$103,$A$2,TUSD!$S$57:'TUSD'!$S$103)</f>
        <v>0</v>
      </c>
      <c r="J11" s="45">
        <f>SUMIF(TUSD!$A$57:'TUSD'!$A$103,$A$2,TUSD!$T$57:'TUSD'!$T$103)</f>
        <v>0</v>
      </c>
      <c r="K11" s="45">
        <f>SUMIF(TUSD!$A$57:'TUSD'!$A$103,$A$2,TUSD!$U$57:'TUSD'!$U$103)</f>
        <v>0</v>
      </c>
      <c r="L11" s="45">
        <f>SUMIF(TUSD!$A$57:'TUSD'!$A$103,$A$2,TUSD!$V$57:'TUSD'!$V$103)</f>
        <v>0</v>
      </c>
      <c r="M11" s="45">
        <f>SUMIF(TUSD!$A$57:'TUSD'!$A$103,$A$2,TUSD!$W$57:'TUSD'!$W$103)</f>
        <v>0</v>
      </c>
      <c r="N11" s="45">
        <f>SUMIF(TUSD!$A$57:'TUSD'!$A$103,$A$2,TUSD!$X$57:'TUSD'!$X$103)</f>
        <v>2435649.8690267103</v>
      </c>
      <c r="O11" s="45">
        <f>SUMIF(TUSD!$A$57:'TUSD'!$A$103,$A$2,TUSD!$Y$57:'TUSD'!$Y$103)</f>
        <v>0</v>
      </c>
      <c r="P11" s="45">
        <f>SUMIF(TUSD!$A$57:'TUSD'!$A$103,$A$2,TUSD!$Z$57:'TUSD'!$Z$103)</f>
        <v>0</v>
      </c>
      <c r="Q11" s="45">
        <f>SUMIF(TUSD!$A$57:'TUSD'!$A$103,$A$2,TUSD!$AA$57:'TUSD'!$AA$103)</f>
        <v>3113130.7906265398</v>
      </c>
      <c r="R11" s="45">
        <f ca="1">SUMIF(TUSD!$A$57:'TUSD'!$A$103,$A$2,TUSD!$AB$57:'TUSD'!$AB$103)</f>
        <v>0</v>
      </c>
      <c r="S11" s="45">
        <f ca="1">SUMIF(TUSD!$A$57:'TUSD'!$A$103,$A$2,TUSD!$AC$57:'TUSD'!$AC$103)</f>
        <v>0</v>
      </c>
      <c r="T11" s="45">
        <f>SUMIF(TUSD!$A$57:'TUSD'!$A$103,$A$2,TUSD!$AD$57:'TUSD'!$AD$103)</f>
        <v>17605.359098269611</v>
      </c>
      <c r="U11" s="45">
        <f>SUMIF(TUSD!$A$57:'TUSD'!$A$103,$A$2,TUSD!$AE$57:'TUSD'!$AE$103)</f>
        <v>711.47249706405489</v>
      </c>
      <c r="V11" s="45">
        <f ca="1">SUMIF(TUSD!$A$57:'TUSD'!$A$103,$A$2,TUSD!$AF$57:'TUSD'!$AF$103)</f>
        <v>0</v>
      </c>
      <c r="W11" s="45">
        <f ca="1">SUMIF(TUSD!$A$57:'TUSD'!$A$103,$A$2,TUSD!$AG$57:'TUSD'!$AG$103)</f>
        <v>0</v>
      </c>
      <c r="X11" s="45">
        <f t="shared" ca="1" si="0"/>
        <v>7764801.3098705327</v>
      </c>
    </row>
    <row r="13" spans="1:33" x14ac:dyDescent="0.2">
      <c r="A13" s="14" t="s">
        <v>1042</v>
      </c>
      <c r="B13" s="63">
        <f t="shared" ref="B13:X13" si="1">IF($X$6&lt;&gt;0,(B$7-B$6)/$X$6,0)</f>
        <v>0</v>
      </c>
      <c r="C13" s="63">
        <f t="shared" si="1"/>
        <v>1.1887004884362758E-3</v>
      </c>
      <c r="D13" s="63">
        <f t="shared" ca="1" si="1"/>
        <v>0</v>
      </c>
      <c r="E13" s="63">
        <f t="shared" si="1"/>
        <v>0</v>
      </c>
      <c r="F13" s="63">
        <f t="shared" si="1"/>
        <v>0</v>
      </c>
      <c r="G13" s="63">
        <f t="shared" si="1"/>
        <v>0.1013350028347081</v>
      </c>
      <c r="H13" s="63">
        <f t="shared" si="1"/>
        <v>1.8631803244497289E-2</v>
      </c>
      <c r="I13" s="63">
        <f t="shared" si="1"/>
        <v>0</v>
      </c>
      <c r="J13" s="63">
        <f t="shared" si="1"/>
        <v>0</v>
      </c>
      <c r="K13" s="63">
        <f t="shared" si="1"/>
        <v>0</v>
      </c>
      <c r="L13" s="63">
        <f t="shared" si="1"/>
        <v>0</v>
      </c>
      <c r="M13" s="63">
        <f t="shared" si="1"/>
        <v>0</v>
      </c>
      <c r="N13" s="63">
        <f t="shared" si="1"/>
        <v>9.6081154268146327E-2</v>
      </c>
      <c r="O13" s="63">
        <f t="shared" si="1"/>
        <v>0</v>
      </c>
      <c r="P13" s="63">
        <f t="shared" si="1"/>
        <v>0</v>
      </c>
      <c r="Q13" s="63">
        <f t="shared" si="1"/>
        <v>0.24633240798150838</v>
      </c>
      <c r="R13" s="63">
        <f t="shared" ca="1" si="1"/>
        <v>0</v>
      </c>
      <c r="S13" s="63">
        <f t="shared" ca="1" si="1"/>
        <v>0</v>
      </c>
      <c r="T13" s="63">
        <f t="shared" si="1"/>
        <v>-1.4312506013124027E-3</v>
      </c>
      <c r="U13" s="63">
        <f t="shared" si="1"/>
        <v>1.8444925124070255E-4</v>
      </c>
      <c r="V13" s="63">
        <f t="shared" ca="1" si="1"/>
        <v>0</v>
      </c>
      <c r="W13" s="63">
        <f t="shared" ca="1" si="1"/>
        <v>0</v>
      </c>
      <c r="X13" s="63">
        <f t="shared" ca="1" si="1"/>
        <v>0.46232226746722455</v>
      </c>
    </row>
    <row r="14" spans="1:33" x14ac:dyDescent="0.2">
      <c r="A14" s="14" t="s">
        <v>1043</v>
      </c>
      <c r="B14" s="63">
        <f t="shared" ref="B14:X14" si="2">IF($X$10&lt;&gt;0,(B$9-B$8)/$X$10,0)</f>
        <v>0</v>
      </c>
      <c r="C14" s="63">
        <f t="shared" si="2"/>
        <v>9.2677054601661662E-4</v>
      </c>
      <c r="D14" s="63">
        <f t="shared" ca="1" si="2"/>
        <v>0</v>
      </c>
      <c r="E14" s="63">
        <f t="shared" si="2"/>
        <v>0</v>
      </c>
      <c r="F14" s="63">
        <f t="shared" si="2"/>
        <v>0</v>
      </c>
      <c r="G14" s="63">
        <f t="shared" si="2"/>
        <v>0.10346339998565779</v>
      </c>
      <c r="H14" s="63">
        <f t="shared" si="2"/>
        <v>2.1111592624383779E-2</v>
      </c>
      <c r="I14" s="63">
        <f t="shared" si="2"/>
        <v>0</v>
      </c>
      <c r="J14" s="63">
        <f t="shared" si="2"/>
        <v>0</v>
      </c>
      <c r="K14" s="63">
        <f t="shared" si="2"/>
        <v>0</v>
      </c>
      <c r="L14" s="63">
        <f t="shared" si="2"/>
        <v>0</v>
      </c>
      <c r="M14" s="63">
        <f t="shared" si="2"/>
        <v>0</v>
      </c>
      <c r="N14" s="63">
        <f t="shared" si="2"/>
        <v>9.8083355630951816E-2</v>
      </c>
      <c r="O14" s="63">
        <f t="shared" si="2"/>
        <v>0</v>
      </c>
      <c r="P14" s="63">
        <f t="shared" si="2"/>
        <v>0</v>
      </c>
      <c r="Q14" s="63">
        <f t="shared" si="2"/>
        <v>0.21167254960241316</v>
      </c>
      <c r="R14" s="63">
        <f t="shared" ca="1" si="2"/>
        <v>0</v>
      </c>
      <c r="S14" s="63">
        <f t="shared" ca="1" si="2"/>
        <v>0</v>
      </c>
      <c r="T14" s="63">
        <f t="shared" si="2"/>
        <v>-1.0769477221226184E-3</v>
      </c>
      <c r="U14" s="63">
        <f t="shared" si="2"/>
        <v>1.3142302059187359E-4</v>
      </c>
      <c r="V14" s="63">
        <f t="shared" ca="1" si="2"/>
        <v>0</v>
      </c>
      <c r="W14" s="63">
        <f t="shared" ca="1" si="2"/>
        <v>0</v>
      </c>
      <c r="X14" s="63">
        <f t="shared" ca="1" si="2"/>
        <v>0.43431214368789212</v>
      </c>
    </row>
    <row r="15" spans="1:33" x14ac:dyDescent="0.2">
      <c r="A15" s="14" t="s">
        <v>1044</v>
      </c>
      <c r="B15" s="63">
        <f t="shared" ref="B15:X15" si="3">IF($X$8&lt;&gt;0,(B$9-B$8)/$X$8,0)</f>
        <v>0</v>
      </c>
      <c r="C15" s="63">
        <f t="shared" si="3"/>
        <v>9.2677054601661662E-4</v>
      </c>
      <c r="D15" s="63">
        <f t="shared" ca="1" si="3"/>
        <v>0</v>
      </c>
      <c r="E15" s="63">
        <f t="shared" si="3"/>
        <v>0</v>
      </c>
      <c r="F15" s="63">
        <f t="shared" si="3"/>
        <v>0</v>
      </c>
      <c r="G15" s="63">
        <f t="shared" si="3"/>
        <v>0.10346339998565779</v>
      </c>
      <c r="H15" s="63">
        <f t="shared" si="3"/>
        <v>2.1111592624383779E-2</v>
      </c>
      <c r="I15" s="63">
        <f t="shared" si="3"/>
        <v>0</v>
      </c>
      <c r="J15" s="63">
        <f t="shared" si="3"/>
        <v>0</v>
      </c>
      <c r="K15" s="63">
        <f t="shared" si="3"/>
        <v>0</v>
      </c>
      <c r="L15" s="63">
        <f t="shared" si="3"/>
        <v>0</v>
      </c>
      <c r="M15" s="63">
        <f t="shared" si="3"/>
        <v>0</v>
      </c>
      <c r="N15" s="63">
        <f t="shared" si="3"/>
        <v>9.8083355630951816E-2</v>
      </c>
      <c r="O15" s="63">
        <f t="shared" si="3"/>
        <v>0</v>
      </c>
      <c r="P15" s="63">
        <f t="shared" si="3"/>
        <v>0</v>
      </c>
      <c r="Q15" s="63">
        <f t="shared" si="3"/>
        <v>0.21167254960241316</v>
      </c>
      <c r="R15" s="63">
        <f t="shared" ca="1" si="3"/>
        <v>0</v>
      </c>
      <c r="S15" s="63">
        <f t="shared" ca="1" si="3"/>
        <v>0</v>
      </c>
      <c r="T15" s="63">
        <f t="shared" si="3"/>
        <v>-1.0769477221226184E-3</v>
      </c>
      <c r="U15" s="63">
        <f t="shared" si="3"/>
        <v>1.3142302059187359E-4</v>
      </c>
      <c r="V15" s="63">
        <f t="shared" ca="1" si="3"/>
        <v>0</v>
      </c>
      <c r="W15" s="63">
        <f t="shared" ca="1" si="3"/>
        <v>0</v>
      </c>
      <c r="X15" s="63">
        <f t="shared" ca="1" si="3"/>
        <v>0.43431214368789212</v>
      </c>
    </row>
  </sheetData>
  <dataValidations count="6">
    <dataValidation type="list" allowBlank="1" showInputMessage="1" showErrorMessage="1" error="Deve-se selecionar grupo válido" sqref="A2" xr:uid="{AA920B2F-14B2-4967-8678-EDD17A8AF0F3}">
      <formula1>AA1:AA6</formula1>
    </dataValidation>
    <dataValidation type="list" allowBlank="1" showInputMessage="1" showErrorMessage="1" error="Deve-se selecionar grupo válido" sqref="B2" xr:uid="{D7D43498-DE54-4D7A-8817-E38FF3EF2CE0}">
      <formula1>AB1:AB7</formula1>
    </dataValidation>
    <dataValidation type="list" allowBlank="1" showInputMessage="1" showErrorMessage="1" error="Deve-se selecionar grupo válido" sqref="C2 E2" xr:uid="{116D203C-D292-4F10-AE8E-2285E44C6279}">
      <formula1>AC1:AC4</formula1>
    </dataValidation>
    <dataValidation type="list" allowBlank="1" showInputMessage="1" showErrorMessage="1" error="Deve-se selecionar grupo válido" sqref="D2" xr:uid="{FBE27152-3839-4057-8E61-791E9A1827EA}">
      <formula1>AD1:AD10</formula1>
    </dataValidation>
    <dataValidation type="list" allowBlank="1" showInputMessage="1" showErrorMessage="1" error="Deve-se selecionar grupo válido" sqref="F2" xr:uid="{2779AD67-B24B-4830-BC8F-E3C3F35FAB6E}">
      <formula1>AF1:AF1</formula1>
    </dataValidation>
    <dataValidation type="list" allowBlank="1" showInputMessage="1" showErrorMessage="1" error="Deve-se selecionar grupo válido" sqref="G2" xr:uid="{FDFEF503-2591-44B7-A1C5-706F2D0A5942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DABF9-CCDA-4045-A755-36FBB54A1A91}">
  <dimension ref="A1:AG15"/>
  <sheetViews>
    <sheetView showGridLines="0" workbookViewId="0">
      <selection activeCell="J15" sqref="J15"/>
    </sheetView>
  </sheetViews>
  <sheetFormatPr defaultColWidth="9.109375" defaultRowHeight="10.199999999999999" x14ac:dyDescent="0.2"/>
  <cols>
    <col min="1" max="1" width="19.109375" style="14" bestFit="1" customWidth="1"/>
    <col min="2" max="2" width="10.5546875" style="14" bestFit="1" customWidth="1"/>
    <col min="3" max="6" width="10.33203125" style="14" bestFit="1" customWidth="1"/>
    <col min="7" max="7" width="14.88671875" style="14" bestFit="1" customWidth="1"/>
    <col min="8" max="8" width="6" style="14" bestFit="1" customWidth="1"/>
    <col min="9" max="9" width="9.5546875" style="14" bestFit="1" customWidth="1"/>
    <col min="10" max="10" width="6.44140625" style="14" bestFit="1" customWidth="1"/>
    <col min="11" max="11" width="7.6640625" style="14" bestFit="1" customWidth="1"/>
    <col min="12" max="12" width="10.6640625" style="14" bestFit="1" customWidth="1"/>
    <col min="13" max="13" width="10" style="14" bestFit="1" customWidth="1"/>
    <col min="14" max="26" width="9.109375" style="14"/>
    <col min="27" max="27" width="3" style="14" bestFit="1" customWidth="1"/>
    <col min="28" max="28" width="27.109375" style="14" bestFit="1" customWidth="1"/>
    <col min="29" max="29" width="13.5546875" style="14" bestFit="1" customWidth="1"/>
    <col min="30" max="30" width="25.109375" style="14" bestFit="1" customWidth="1"/>
    <col min="31" max="33" width="10.33203125" style="14" bestFit="1" customWidth="1"/>
    <col min="34" max="16384" width="9.109375" style="14"/>
  </cols>
  <sheetData>
    <row r="1" spans="1:33" x14ac:dyDescent="0.2">
      <c r="A1" s="14" t="s">
        <v>62</v>
      </c>
      <c r="B1" s="14" t="s">
        <v>63</v>
      </c>
      <c r="C1" s="14" t="s">
        <v>64</v>
      </c>
      <c r="D1" s="14" t="s">
        <v>65</v>
      </c>
      <c r="E1" s="14" t="s">
        <v>66</v>
      </c>
      <c r="F1" s="14" t="s">
        <v>15</v>
      </c>
      <c r="G1" s="14" t="s">
        <v>68</v>
      </c>
      <c r="I1" s="14" t="s">
        <v>1041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71</v>
      </c>
      <c r="AC2" s="14" t="s">
        <v>24</v>
      </c>
      <c r="AD2" s="14" t="s">
        <v>24</v>
      </c>
      <c r="AG2" s="14" t="s">
        <v>73</v>
      </c>
    </row>
    <row r="3" spans="1:33" x14ac:dyDescent="0.2">
      <c r="AA3" s="14" t="s">
        <v>42</v>
      </c>
      <c r="AB3" s="14" t="s">
        <v>86</v>
      </c>
      <c r="AC3" s="14" t="s">
        <v>43</v>
      </c>
      <c r="AD3" s="14" t="s">
        <v>29</v>
      </c>
      <c r="AG3" s="14" t="s">
        <v>74</v>
      </c>
    </row>
    <row r="4" spans="1:33" x14ac:dyDescent="0.2">
      <c r="AA4" s="14" t="s">
        <v>33</v>
      </c>
      <c r="AB4" s="14" t="s">
        <v>87</v>
      </c>
      <c r="AC4" s="14" t="s">
        <v>46</v>
      </c>
      <c r="AD4" s="14" t="s">
        <v>30</v>
      </c>
      <c r="AG4" s="14" t="s">
        <v>85</v>
      </c>
    </row>
    <row r="5" spans="1:33" x14ac:dyDescent="0.2">
      <c r="A5" s="14" t="s">
        <v>1034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461</v>
      </c>
      <c r="AA5" s="14" t="s">
        <v>45</v>
      </c>
      <c r="AD5" s="14" t="s">
        <v>31</v>
      </c>
      <c r="AG5" s="14" t="s">
        <v>79</v>
      </c>
    </row>
    <row r="6" spans="1:33" x14ac:dyDescent="0.2">
      <c r="A6" s="14" t="s">
        <v>1035</v>
      </c>
      <c r="B6" s="45">
        <f>SUM(TE!$X$47:'TE'!$X$83)</f>
        <v>0</v>
      </c>
      <c r="C6" s="45">
        <f>SUM(TE!$Y$47:'TE'!$Y$83)</f>
        <v>176138.47058234768</v>
      </c>
      <c r="D6" s="45">
        <f>SUM(TE!$Z$47:'TE'!$Z$83)</f>
        <v>0</v>
      </c>
      <c r="E6" s="45">
        <f>SUM(TE!$AA$47:'TE'!$AA$83)</f>
        <v>0</v>
      </c>
      <c r="F6" s="45">
        <f>SUM(TE!$AB$47:'TE'!$AB$83)</f>
        <v>0</v>
      </c>
      <c r="G6" s="45">
        <f>SUM(TE!$AC$47:'TE'!$AC$83)</f>
        <v>9510070.6606239732</v>
      </c>
      <c r="H6" s="45">
        <f>SUM(TE!$AD$47:'TE'!$AD$83)</f>
        <v>0</v>
      </c>
      <c r="I6" s="45">
        <f>SUM(TE!$AE$47:'TE'!$AE$83)</f>
        <v>0</v>
      </c>
      <c r="J6" s="45">
        <f>SUM(TE!$AF$47:'TE'!$AF$83)</f>
        <v>0</v>
      </c>
      <c r="K6" s="45">
        <f>SUM(TE!$AG$47:'TE'!$AG$83)</f>
        <v>0</v>
      </c>
      <c r="L6" s="45">
        <f>SUM(TE!$AH$47:'TE'!$AH$83)</f>
        <v>0</v>
      </c>
      <c r="M6" s="45">
        <f t="shared" ref="M6:M11" si="0">SUM(B6:L6)</f>
        <v>9686209.1312063206</v>
      </c>
      <c r="AD6" s="14" t="s">
        <v>32</v>
      </c>
    </row>
    <row r="7" spans="1:33" x14ac:dyDescent="0.2">
      <c r="A7" s="14" t="s">
        <v>1036</v>
      </c>
      <c r="B7" s="45">
        <f>SUM(TE!$L$47:'TE'!$L$83)</f>
        <v>0</v>
      </c>
      <c r="C7" s="45">
        <f>SUM(TE!$M$47:'TE'!$M$83)</f>
        <v>1315929.7014255251</v>
      </c>
      <c r="D7" s="45">
        <f>SUM(TE!$N$47:'TE'!$N$83)</f>
        <v>0</v>
      </c>
      <c r="E7" s="45">
        <f>SUM(TE!$O$47:'TE'!$O$83)</f>
        <v>0</v>
      </c>
      <c r="F7" s="45">
        <f>SUM(TE!$P$47:'TE'!$P$83)</f>
        <v>-557974.90185680322</v>
      </c>
      <c r="G7" s="45">
        <f>SUM(TE!$Q$47:'TE'!$Q$83)</f>
        <v>6669878.1263344903</v>
      </c>
      <c r="H7" s="45">
        <f>SUM(TE!$R$47:'TE'!$R$83)</f>
        <v>0</v>
      </c>
      <c r="I7" s="45">
        <f>SUM(TE!$S$47:'TE'!$S$83)</f>
        <v>0</v>
      </c>
      <c r="J7" s="45">
        <f>SUM(TE!$T$47:'TE'!$T$83)</f>
        <v>0</v>
      </c>
      <c r="K7" s="45">
        <f>SUM(TE!$U$47:'TE'!$U$83)</f>
        <v>0</v>
      </c>
      <c r="L7" s="45">
        <f>SUM(TE!$V$47:'TE'!$V$83)</f>
        <v>269544.90500125824</v>
      </c>
      <c r="M7" s="45">
        <f t="shared" si="0"/>
        <v>7697377.8309044708</v>
      </c>
      <c r="AD7" s="14" t="s">
        <v>89</v>
      </c>
    </row>
    <row r="8" spans="1:33" x14ac:dyDescent="0.2">
      <c r="A8" s="14" t="s">
        <v>1039</v>
      </c>
      <c r="B8" s="45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5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110106.82839817867</v>
      </c>
      <c r="D8" s="45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5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5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5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5944889.3522345498</v>
      </c>
      <c r="H8" s="45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5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5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5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5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5">
        <f t="shared" si="0"/>
        <v>6054996.1806327282</v>
      </c>
      <c r="AD8" s="14" t="s">
        <v>90</v>
      </c>
    </row>
    <row r="9" spans="1:33" x14ac:dyDescent="0.2">
      <c r="A9" s="14" t="s">
        <v>1040</v>
      </c>
      <c r="B9" s="45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5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815857.02775999787</v>
      </c>
      <c r="D9" s="45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5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5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-345936.21870562475</v>
      </c>
      <c r="G9" s="45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4135226.1733873868</v>
      </c>
      <c r="H9" s="45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5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5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5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0</v>
      </c>
      <c r="L9" s="45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167113.86999165115</v>
      </c>
      <c r="M9" s="45">
        <f t="shared" si="0"/>
        <v>4772260.8524334105</v>
      </c>
      <c r="AD9" s="14" t="s">
        <v>47</v>
      </c>
    </row>
    <row r="10" spans="1:33" x14ac:dyDescent="0.2">
      <c r="A10" s="14" t="s">
        <v>1037</v>
      </c>
      <c r="B10" s="45">
        <f>SUMIF(TE!$A$47:'TE'!$A$83,$A$2,TE!$X$47:'TE'!$X$83)</f>
        <v>0</v>
      </c>
      <c r="C10" s="45">
        <f>SUMIF(TE!$A$47:'TE'!$A$83,$A$2,TE!$Y$47:'TE'!$Y$83)</f>
        <v>110106.82839817867</v>
      </c>
      <c r="D10" s="45">
        <f>SUMIF(TE!$A$47:'TE'!$A$83,$A$2,TE!$Z$47:'TE'!$Z$83)</f>
        <v>0</v>
      </c>
      <c r="E10" s="45">
        <f>SUMIF(TE!$A$47:'TE'!$A$83,$A$2,TE!$AA$47:'TE'!$AA$83)</f>
        <v>0</v>
      </c>
      <c r="F10" s="45">
        <f>SUMIF(TE!$A$47:'TE'!$A$83,$A$2,TE!$AB$47:'TE'!$AB$83)</f>
        <v>0</v>
      </c>
      <c r="G10" s="45">
        <f>SUMIF(TE!$A$47:'TE'!$A$83,$A$2,TE!$AC$47:'TE'!$AC$83)</f>
        <v>5944889.3522345498</v>
      </c>
      <c r="H10" s="45">
        <f>SUMIF(TE!$A$47:'TE'!$A$83,$A$2,TE!$AD$47:'TE'!$AD$83)</f>
        <v>0</v>
      </c>
      <c r="I10" s="45">
        <f>SUMIF(TE!$A$47:'TE'!$A$83,$A$2,TE!$AE$47:'TE'!$AE$83)</f>
        <v>0</v>
      </c>
      <c r="J10" s="45">
        <f>SUMIF(TE!$A$47:'TE'!$A$83,$A$2,TE!$AF$47:'TE'!$AF$83)</f>
        <v>0</v>
      </c>
      <c r="K10" s="45">
        <f>SUMIF(TE!$A$47:'TE'!$A$83,$A$2,TE!$AG$47:'TE'!$AG$83)</f>
        <v>0</v>
      </c>
      <c r="L10" s="45">
        <f>SUMIF(TE!$A$47:'TE'!$A$83,$A$2,TE!$AH$47:'TE'!$AH$83)</f>
        <v>0</v>
      </c>
      <c r="M10" s="45">
        <f t="shared" si="0"/>
        <v>6054996.1806327282</v>
      </c>
      <c r="AD10" s="14" t="s">
        <v>91</v>
      </c>
    </row>
    <row r="11" spans="1:33" x14ac:dyDescent="0.2">
      <c r="A11" s="14" t="s">
        <v>1038</v>
      </c>
      <c r="B11" s="45">
        <f>SUMIF(TE!$A$47:'TE'!$A$83,$A$2,TE!$L$47:'TE'!$L$83)</f>
        <v>0</v>
      </c>
      <c r="C11" s="45">
        <f>SUMIF(TE!$A$47:'TE'!$A$83,$A$2,TE!$M$47:'TE'!$M$83)</f>
        <v>815857.02775999787</v>
      </c>
      <c r="D11" s="45">
        <f>SUMIF(TE!$A$47:'TE'!$A$83,$A$2,TE!$N$47:'TE'!$N$83)</f>
        <v>0</v>
      </c>
      <c r="E11" s="45">
        <f>SUMIF(TE!$A$47:'TE'!$A$83,$A$2,TE!$O$47:'TE'!$O$83)</f>
        <v>0</v>
      </c>
      <c r="F11" s="45">
        <f>SUMIF(TE!$A$47:'TE'!$A$83,$A$2,TE!$P$47:'TE'!$P$83)</f>
        <v>-345936.21870562475</v>
      </c>
      <c r="G11" s="45">
        <f>SUMIF(TE!$A$47:'TE'!$A$83,$A$2,TE!$Q$47:'TE'!$Q$83)</f>
        <v>4135226.1733873868</v>
      </c>
      <c r="H11" s="45">
        <f>SUMIF(TE!$A$47:'TE'!$A$83,$A$2,TE!$R$47:'TE'!$R$83)</f>
        <v>0</v>
      </c>
      <c r="I11" s="45">
        <f>SUMIF(TE!$A$47:'TE'!$A$83,$A$2,TE!$S$47:'TE'!$S$83)</f>
        <v>0</v>
      </c>
      <c r="J11" s="45">
        <f>SUMIF(TE!$A$47:'TE'!$A$83,$A$2,TE!$T$47:'TE'!$T$83)</f>
        <v>0</v>
      </c>
      <c r="K11" s="45">
        <f>SUMIF(TE!$A$47:'TE'!$A$83,$A$2,TE!$U$47:'TE'!$U$83)</f>
        <v>0</v>
      </c>
      <c r="L11" s="45">
        <f>SUMIF(TE!$A$47:'TE'!$A$83,$A$2,TE!$V$47:'TE'!$V$83)</f>
        <v>167113.86999165115</v>
      </c>
      <c r="M11" s="45">
        <f t="shared" si="0"/>
        <v>4772260.8524334105</v>
      </c>
    </row>
    <row r="13" spans="1:33" x14ac:dyDescent="0.2">
      <c r="A13" s="14" t="s">
        <v>1042</v>
      </c>
      <c r="B13" s="63">
        <f t="shared" ref="B13:M13" si="1">IF($M$6&lt;&gt;0,(B$7-B$6)/$M$6,0)</f>
        <v>0</v>
      </c>
      <c r="C13" s="63">
        <f t="shared" si="1"/>
        <v>0.11767154883855248</v>
      </c>
      <c r="D13" s="63">
        <f t="shared" si="1"/>
        <v>0</v>
      </c>
      <c r="E13" s="63">
        <f t="shared" si="1"/>
        <v>0</v>
      </c>
      <c r="F13" s="63">
        <f t="shared" si="1"/>
        <v>-5.7605085157531905E-2</v>
      </c>
      <c r="G13" s="63">
        <f t="shared" si="1"/>
        <v>-0.29322023671150754</v>
      </c>
      <c r="H13" s="63">
        <f t="shared" si="1"/>
        <v>0</v>
      </c>
      <c r="I13" s="63">
        <f t="shared" si="1"/>
        <v>0</v>
      </c>
      <c r="J13" s="63">
        <f t="shared" si="1"/>
        <v>0</v>
      </c>
      <c r="K13" s="63">
        <f t="shared" si="1"/>
        <v>0</v>
      </c>
      <c r="L13" s="63">
        <f t="shared" si="1"/>
        <v>2.7827698261527121E-2</v>
      </c>
      <c r="M13" s="63">
        <f t="shared" si="1"/>
        <v>-0.20532607476895978</v>
      </c>
    </row>
    <row r="14" spans="1:33" x14ac:dyDescent="0.2">
      <c r="A14" s="14" t="s">
        <v>1043</v>
      </c>
      <c r="B14" s="63">
        <f t="shared" ref="B14:M14" si="2">IF($M$10&lt;&gt;0,(B$9-B$8)/$M$10,0)</f>
        <v>0</v>
      </c>
      <c r="C14" s="63">
        <f t="shared" si="2"/>
        <v>0.11655667126912547</v>
      </c>
      <c r="D14" s="63">
        <f t="shared" si="2"/>
        <v>0</v>
      </c>
      <c r="E14" s="63">
        <f t="shared" si="2"/>
        <v>0</v>
      </c>
      <c r="F14" s="63">
        <f t="shared" si="2"/>
        <v>-5.7132359523548948E-2</v>
      </c>
      <c r="G14" s="63">
        <f t="shared" si="2"/>
        <v>-0.29887106859546503</v>
      </c>
      <c r="H14" s="63">
        <f t="shared" si="2"/>
        <v>0</v>
      </c>
      <c r="I14" s="63">
        <f t="shared" si="2"/>
        <v>0</v>
      </c>
      <c r="J14" s="63">
        <f t="shared" si="2"/>
        <v>0</v>
      </c>
      <c r="K14" s="63">
        <f t="shared" si="2"/>
        <v>0</v>
      </c>
      <c r="L14" s="63">
        <f t="shared" si="2"/>
        <v>2.7599335326779394E-2</v>
      </c>
      <c r="M14" s="63">
        <f t="shared" si="2"/>
        <v>-0.21184742152310918</v>
      </c>
    </row>
    <row r="15" spans="1:33" x14ac:dyDescent="0.2">
      <c r="A15" s="14" t="s">
        <v>1044</v>
      </c>
      <c r="B15" s="63">
        <f t="shared" ref="B15:M15" si="3">IF($M$8&lt;&gt;0,(B$9-B$8)/$M$8,0)</f>
        <v>0</v>
      </c>
      <c r="C15" s="63">
        <f t="shared" si="3"/>
        <v>0.11655667126912547</v>
      </c>
      <c r="D15" s="63">
        <f t="shared" si="3"/>
        <v>0</v>
      </c>
      <c r="E15" s="63">
        <f t="shared" si="3"/>
        <v>0</v>
      </c>
      <c r="F15" s="63">
        <f t="shared" si="3"/>
        <v>-5.7132359523548948E-2</v>
      </c>
      <c r="G15" s="63">
        <f t="shared" si="3"/>
        <v>-0.29887106859546503</v>
      </c>
      <c r="H15" s="63">
        <f t="shared" si="3"/>
        <v>0</v>
      </c>
      <c r="I15" s="63">
        <f t="shared" si="3"/>
        <v>0</v>
      </c>
      <c r="J15" s="63">
        <f t="shared" si="3"/>
        <v>0</v>
      </c>
      <c r="K15" s="63">
        <f t="shared" si="3"/>
        <v>0</v>
      </c>
      <c r="L15" s="63">
        <f t="shared" si="3"/>
        <v>2.7599335326779394E-2</v>
      </c>
      <c r="M15" s="63">
        <f t="shared" si="3"/>
        <v>-0.21184742152310918</v>
      </c>
    </row>
  </sheetData>
  <dataValidations count="4">
    <dataValidation type="list" allowBlank="1" showInputMessage="1" showErrorMessage="1" sqref="A2 G2" xr:uid="{F3E0C6B4-1BCA-4CA4-BC82-D542B48BDDCB}">
      <formula1>AA1:AA5</formula1>
    </dataValidation>
    <dataValidation type="list" allowBlank="1" showInputMessage="1" showErrorMessage="1" sqref="B2 C2" xr:uid="{EF8BB069-1E4A-45A0-891E-A76375412100}">
      <formula1>AB1:AB4</formula1>
    </dataValidation>
    <dataValidation type="list" allowBlank="1" showInputMessage="1" showErrorMessage="1" sqref="D2" xr:uid="{11DE15D5-F712-4C85-880D-82674ED7890B}">
      <formula1>AD1:AD10</formula1>
    </dataValidation>
    <dataValidation type="list" allowBlank="1" showInputMessage="1" showErrorMessage="1" sqref="E2 F2" xr:uid="{A386F920-1C2C-44D4-9898-91E725B33153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52F0-342C-443F-A750-7C9C3D6AAE8B}">
  <dimension ref="B1:U15"/>
  <sheetViews>
    <sheetView showGridLines="0" workbookViewId="0">
      <selection activeCell="U1" sqref="U1"/>
    </sheetView>
  </sheetViews>
  <sheetFormatPr defaultRowHeight="14.4" x14ac:dyDescent="0.3"/>
  <sheetData>
    <row r="1" spans="2:21" x14ac:dyDescent="0.3">
      <c r="B1" s="57" t="s">
        <v>656</v>
      </c>
      <c r="C1" s="57" t="s">
        <v>657</v>
      </c>
      <c r="D1" s="57" t="s">
        <v>658</v>
      </c>
      <c r="E1" s="57" t="s">
        <v>2</v>
      </c>
      <c r="F1" s="57" t="s">
        <v>659</v>
      </c>
      <c r="G1" s="57" t="s">
        <v>566</v>
      </c>
      <c r="H1" s="57" t="s">
        <v>3</v>
      </c>
      <c r="I1" s="57" t="s">
        <v>660</v>
      </c>
      <c r="J1" s="57" t="s">
        <v>5</v>
      </c>
      <c r="K1" s="57" t="s">
        <v>1</v>
      </c>
      <c r="L1" s="57" t="s">
        <v>661</v>
      </c>
      <c r="M1" s="57" t="s">
        <v>662</v>
      </c>
      <c r="N1" s="57" t="s">
        <v>663</v>
      </c>
      <c r="O1" s="57" t="s">
        <v>664</v>
      </c>
      <c r="P1" s="57" t="s">
        <v>665</v>
      </c>
      <c r="Q1" s="57" t="s">
        <v>666</v>
      </c>
      <c r="R1" s="57" t="s">
        <v>667</v>
      </c>
      <c r="S1" s="57" t="s">
        <v>668</v>
      </c>
      <c r="T1" s="57" t="s">
        <v>669</v>
      </c>
      <c r="U1" s="57" t="s">
        <v>670</v>
      </c>
    </row>
    <row r="2" spans="2:21" x14ac:dyDescent="0.3">
      <c r="B2" s="56" t="s">
        <v>641</v>
      </c>
      <c r="C2" s="56">
        <v>7855</v>
      </c>
      <c r="D2" s="56">
        <v>5372</v>
      </c>
      <c r="E2" s="56" t="s">
        <v>36</v>
      </c>
      <c r="F2" s="56">
        <v>1</v>
      </c>
      <c r="G2" s="56" t="s">
        <v>642</v>
      </c>
      <c r="H2" s="56" t="s">
        <v>48</v>
      </c>
      <c r="I2" s="56" t="s">
        <v>49</v>
      </c>
      <c r="J2" s="56" t="s">
        <v>591</v>
      </c>
      <c r="K2" s="56" t="s">
        <v>35</v>
      </c>
      <c r="L2" s="56">
        <v>0.15</v>
      </c>
      <c r="M2" s="56">
        <v>0.12</v>
      </c>
      <c r="N2" s="56">
        <v>0.09</v>
      </c>
      <c r="O2" s="56">
        <v>0.06</v>
      </c>
      <c r="P2" s="56">
        <v>0.03</v>
      </c>
      <c r="Q2" s="56">
        <v>0</v>
      </c>
      <c r="R2" s="56"/>
      <c r="S2" s="56"/>
      <c r="T2" s="56"/>
      <c r="U2" s="56">
        <v>3</v>
      </c>
    </row>
    <row r="3" spans="2:21" x14ac:dyDescent="0.3">
      <c r="B3" s="56" t="s">
        <v>643</v>
      </c>
      <c r="C3" s="56">
        <v>7856</v>
      </c>
      <c r="D3" s="56">
        <v>5372</v>
      </c>
      <c r="E3" s="56" t="s">
        <v>593</v>
      </c>
      <c r="F3" s="56">
        <v>1</v>
      </c>
      <c r="G3" s="56" t="s">
        <v>642</v>
      </c>
      <c r="H3" s="56" t="s">
        <v>48</v>
      </c>
      <c r="I3" s="56" t="s">
        <v>49</v>
      </c>
      <c r="J3" s="56" t="s">
        <v>591</v>
      </c>
      <c r="K3" s="56" t="s">
        <v>35</v>
      </c>
      <c r="L3" s="56">
        <v>0.15</v>
      </c>
      <c r="M3" s="56">
        <v>0.12</v>
      </c>
      <c r="N3" s="56">
        <v>0.09</v>
      </c>
      <c r="O3" s="56">
        <v>0.06</v>
      </c>
      <c r="P3" s="56">
        <v>0.03</v>
      </c>
      <c r="Q3" s="56">
        <v>0</v>
      </c>
      <c r="R3" s="56"/>
      <c r="S3" s="56"/>
      <c r="T3" s="56"/>
      <c r="U3" s="56">
        <v>3</v>
      </c>
    </row>
    <row r="4" spans="2:21" x14ac:dyDescent="0.3">
      <c r="B4" s="56" t="s">
        <v>644</v>
      </c>
      <c r="C4" s="56">
        <v>7857</v>
      </c>
      <c r="D4" s="56">
        <v>5372</v>
      </c>
      <c r="E4" s="56" t="s">
        <v>23</v>
      </c>
      <c r="F4" s="56">
        <v>1</v>
      </c>
      <c r="G4" s="56" t="s">
        <v>642</v>
      </c>
      <c r="H4" s="56" t="s">
        <v>48</v>
      </c>
      <c r="I4" s="56" t="s">
        <v>49</v>
      </c>
      <c r="J4" s="56" t="s">
        <v>591</v>
      </c>
      <c r="K4" s="56" t="s">
        <v>33</v>
      </c>
      <c r="L4" s="56">
        <v>0.15</v>
      </c>
      <c r="M4" s="56">
        <v>0.12</v>
      </c>
      <c r="N4" s="56">
        <v>0.09</v>
      </c>
      <c r="O4" s="56">
        <v>0.06</v>
      </c>
      <c r="P4" s="56">
        <v>0.03</v>
      </c>
      <c r="Q4" s="56">
        <v>0</v>
      </c>
      <c r="R4" s="56"/>
      <c r="S4" s="56"/>
      <c r="T4" s="56"/>
      <c r="U4" s="56">
        <v>3</v>
      </c>
    </row>
    <row r="5" spans="2:21" x14ac:dyDescent="0.3">
      <c r="B5" s="56" t="s">
        <v>645</v>
      </c>
      <c r="C5" s="56">
        <v>7858</v>
      </c>
      <c r="D5" s="56">
        <v>5372</v>
      </c>
      <c r="E5" s="56" t="s">
        <v>40</v>
      </c>
      <c r="F5" s="56">
        <v>1</v>
      </c>
      <c r="G5" s="56" t="s">
        <v>642</v>
      </c>
      <c r="H5" s="56" t="s">
        <v>48</v>
      </c>
      <c r="I5" s="56" t="s">
        <v>49</v>
      </c>
      <c r="J5" s="56" t="s">
        <v>591</v>
      </c>
      <c r="K5" s="56" t="s">
        <v>33</v>
      </c>
      <c r="L5" s="56">
        <v>0.15</v>
      </c>
      <c r="M5" s="56">
        <v>0.12</v>
      </c>
      <c r="N5" s="56">
        <v>0.09</v>
      </c>
      <c r="O5" s="56">
        <v>0.06</v>
      </c>
      <c r="P5" s="56">
        <v>0.03</v>
      </c>
      <c r="Q5" s="56">
        <v>0</v>
      </c>
      <c r="R5" s="56"/>
      <c r="S5" s="56"/>
      <c r="T5" s="56"/>
      <c r="U5" s="56">
        <v>3</v>
      </c>
    </row>
    <row r="6" spans="2:21" x14ac:dyDescent="0.3">
      <c r="B6" s="56" t="s">
        <v>646</v>
      </c>
      <c r="C6" s="56">
        <v>7859</v>
      </c>
      <c r="D6" s="56">
        <v>5372</v>
      </c>
      <c r="E6" s="56" t="s">
        <v>23</v>
      </c>
      <c r="F6" s="56">
        <v>1</v>
      </c>
      <c r="G6" s="56" t="s">
        <v>642</v>
      </c>
      <c r="H6" s="56" t="s">
        <v>43</v>
      </c>
      <c r="I6" s="56" t="s">
        <v>89</v>
      </c>
      <c r="J6" s="56" t="s">
        <v>591</v>
      </c>
      <c r="K6" s="56" t="s">
        <v>42</v>
      </c>
      <c r="L6" s="56">
        <v>0.3</v>
      </c>
      <c r="M6" s="56">
        <v>0.24</v>
      </c>
      <c r="N6" s="56">
        <v>0.18</v>
      </c>
      <c r="O6" s="56">
        <v>0.12</v>
      </c>
      <c r="P6" s="56">
        <v>0.06</v>
      </c>
      <c r="Q6" s="56">
        <v>0</v>
      </c>
      <c r="R6" s="56"/>
      <c r="S6" s="56"/>
      <c r="T6" s="56"/>
      <c r="U6" s="56">
        <v>3</v>
      </c>
    </row>
    <row r="7" spans="2:21" x14ac:dyDescent="0.3">
      <c r="B7" s="56" t="s">
        <v>647</v>
      </c>
      <c r="C7" s="56">
        <v>7860</v>
      </c>
      <c r="D7" s="56">
        <v>5372</v>
      </c>
      <c r="E7" s="56" t="s">
        <v>592</v>
      </c>
      <c r="F7" s="56">
        <v>1</v>
      </c>
      <c r="G7" s="56" t="s">
        <v>642</v>
      </c>
      <c r="H7" s="56" t="s">
        <v>43</v>
      </c>
      <c r="I7" s="56" t="s">
        <v>89</v>
      </c>
      <c r="J7" s="56" t="s">
        <v>591</v>
      </c>
      <c r="K7" s="56" t="s">
        <v>42</v>
      </c>
      <c r="L7" s="56">
        <v>0.3</v>
      </c>
      <c r="M7" s="56">
        <v>0.24</v>
      </c>
      <c r="N7" s="56">
        <v>0.18</v>
      </c>
      <c r="O7" s="56">
        <v>0.12</v>
      </c>
      <c r="P7" s="56">
        <v>0.06</v>
      </c>
      <c r="Q7" s="56">
        <v>0</v>
      </c>
      <c r="R7" s="56"/>
      <c r="S7" s="56"/>
      <c r="T7" s="56"/>
      <c r="U7" s="56">
        <v>3</v>
      </c>
    </row>
    <row r="8" spans="2:21" x14ac:dyDescent="0.3">
      <c r="B8" s="56" t="s">
        <v>648</v>
      </c>
      <c r="C8" s="56">
        <v>7861</v>
      </c>
      <c r="D8" s="56">
        <v>5372</v>
      </c>
      <c r="E8" s="56" t="s">
        <v>75</v>
      </c>
      <c r="F8" s="56">
        <v>1</v>
      </c>
      <c r="G8" s="56" t="s">
        <v>642</v>
      </c>
      <c r="H8" s="56" t="s">
        <v>43</v>
      </c>
      <c r="I8" s="56" t="s">
        <v>25</v>
      </c>
      <c r="J8" s="56" t="s">
        <v>590</v>
      </c>
      <c r="K8" s="56" t="s">
        <v>35</v>
      </c>
      <c r="L8" s="56">
        <v>0.1</v>
      </c>
      <c r="M8" s="56">
        <v>0.08</v>
      </c>
      <c r="N8" s="56">
        <v>0.06</v>
      </c>
      <c r="O8" s="56">
        <v>0.04</v>
      </c>
      <c r="P8" s="56">
        <v>0.02</v>
      </c>
      <c r="Q8" s="56">
        <v>0</v>
      </c>
      <c r="R8" s="56"/>
      <c r="S8" s="56"/>
      <c r="T8" s="56"/>
      <c r="U8" s="56">
        <v>3</v>
      </c>
    </row>
    <row r="9" spans="2:21" x14ac:dyDescent="0.3">
      <c r="B9" s="56" t="s">
        <v>649</v>
      </c>
      <c r="C9" s="56">
        <v>7862</v>
      </c>
      <c r="D9" s="56">
        <v>5372</v>
      </c>
      <c r="E9" s="56" t="s">
        <v>36</v>
      </c>
      <c r="F9" s="56">
        <v>1</v>
      </c>
      <c r="G9" s="56" t="s">
        <v>642</v>
      </c>
      <c r="H9" s="56" t="s">
        <v>43</v>
      </c>
      <c r="I9" s="56" t="s">
        <v>25</v>
      </c>
      <c r="J9" s="56" t="s">
        <v>590</v>
      </c>
      <c r="K9" s="56" t="s">
        <v>35</v>
      </c>
      <c r="L9" s="56">
        <v>0.1</v>
      </c>
      <c r="M9" s="56">
        <v>0.08</v>
      </c>
      <c r="N9" s="56">
        <v>0.06</v>
      </c>
      <c r="O9" s="56">
        <v>0.04</v>
      </c>
      <c r="P9" s="56">
        <v>0.02</v>
      </c>
      <c r="Q9" s="56">
        <v>0</v>
      </c>
      <c r="R9" s="56"/>
      <c r="S9" s="56"/>
      <c r="T9" s="56"/>
      <c r="U9" s="56">
        <v>3</v>
      </c>
    </row>
    <row r="10" spans="2:21" x14ac:dyDescent="0.3">
      <c r="B10" s="56" t="s">
        <v>650</v>
      </c>
      <c r="C10" s="56">
        <v>7863</v>
      </c>
      <c r="D10" s="56">
        <v>5372</v>
      </c>
      <c r="E10" s="56" t="s">
        <v>23</v>
      </c>
      <c r="F10" s="56">
        <v>1</v>
      </c>
      <c r="G10" s="56" t="s">
        <v>642</v>
      </c>
      <c r="H10" s="56" t="s">
        <v>43</v>
      </c>
      <c r="I10" s="56" t="s">
        <v>25</v>
      </c>
      <c r="J10" s="56" t="s">
        <v>590</v>
      </c>
      <c r="K10" s="56" t="s">
        <v>35</v>
      </c>
      <c r="L10" s="56">
        <v>0.1</v>
      </c>
      <c r="M10" s="56">
        <v>0.08</v>
      </c>
      <c r="N10" s="56">
        <v>0.06</v>
      </c>
      <c r="O10" s="56">
        <v>0.04</v>
      </c>
      <c r="P10" s="56">
        <v>0.02</v>
      </c>
      <c r="Q10" s="56">
        <v>0</v>
      </c>
      <c r="R10" s="56"/>
      <c r="S10" s="56"/>
      <c r="T10" s="56"/>
      <c r="U10" s="56">
        <v>3</v>
      </c>
    </row>
    <row r="11" spans="2:21" x14ac:dyDescent="0.3">
      <c r="B11" s="56" t="s">
        <v>651</v>
      </c>
      <c r="C11" s="56">
        <v>7864</v>
      </c>
      <c r="D11" s="56">
        <v>5372</v>
      </c>
      <c r="E11" s="56" t="s">
        <v>23</v>
      </c>
      <c r="F11" s="56">
        <v>1</v>
      </c>
      <c r="G11" s="56" t="s">
        <v>642</v>
      </c>
      <c r="H11" s="56" t="s">
        <v>43</v>
      </c>
      <c r="I11" s="56" t="s">
        <v>25</v>
      </c>
      <c r="J11" s="56" t="s">
        <v>43</v>
      </c>
      <c r="K11" s="56" t="s">
        <v>42</v>
      </c>
      <c r="L11" s="56">
        <v>0.3</v>
      </c>
      <c r="M11" s="56">
        <v>0.24</v>
      </c>
      <c r="N11" s="56">
        <v>0.18</v>
      </c>
      <c r="O11" s="56">
        <v>0.12</v>
      </c>
      <c r="P11" s="56">
        <v>0.06</v>
      </c>
      <c r="Q11" s="56">
        <v>0</v>
      </c>
      <c r="R11" s="56"/>
      <c r="S11" s="56"/>
      <c r="T11" s="56"/>
      <c r="U11" s="56">
        <v>3</v>
      </c>
    </row>
    <row r="12" spans="2:21" x14ac:dyDescent="0.3">
      <c r="B12" s="56" t="s">
        <v>652</v>
      </c>
      <c r="C12" s="56">
        <v>7865</v>
      </c>
      <c r="D12" s="56">
        <v>5372</v>
      </c>
      <c r="E12" s="56" t="s">
        <v>40</v>
      </c>
      <c r="F12" s="56">
        <v>1</v>
      </c>
      <c r="G12" s="56" t="s">
        <v>642</v>
      </c>
      <c r="H12" s="56" t="s">
        <v>43</v>
      </c>
      <c r="I12" s="56" t="s">
        <v>25</v>
      </c>
      <c r="J12" s="56" t="s">
        <v>43</v>
      </c>
      <c r="K12" s="56" t="s">
        <v>42</v>
      </c>
      <c r="L12" s="56">
        <v>0.3</v>
      </c>
      <c r="M12" s="56">
        <v>0.24</v>
      </c>
      <c r="N12" s="56">
        <v>0.18</v>
      </c>
      <c r="O12" s="56">
        <v>0.12</v>
      </c>
      <c r="P12" s="56">
        <v>0.06</v>
      </c>
      <c r="Q12" s="56">
        <v>0</v>
      </c>
      <c r="R12" s="56"/>
      <c r="S12" s="56"/>
      <c r="T12" s="56"/>
      <c r="U12" s="56">
        <v>3</v>
      </c>
    </row>
    <row r="13" spans="2:21" x14ac:dyDescent="0.3">
      <c r="B13" s="56" t="s">
        <v>653</v>
      </c>
      <c r="C13" s="56">
        <v>7866</v>
      </c>
      <c r="D13" s="56">
        <v>5372</v>
      </c>
      <c r="E13" s="56" t="s">
        <v>23</v>
      </c>
      <c r="F13" s="56">
        <v>1</v>
      </c>
      <c r="G13" s="56" t="s">
        <v>642</v>
      </c>
      <c r="H13" s="56" t="s">
        <v>43</v>
      </c>
      <c r="I13" s="56" t="s">
        <v>90</v>
      </c>
      <c r="J13" s="56" t="s">
        <v>591</v>
      </c>
      <c r="K13" s="56" t="s">
        <v>42</v>
      </c>
      <c r="L13" s="56">
        <v>0.4</v>
      </c>
      <c r="M13" s="56">
        <v>0.32</v>
      </c>
      <c r="N13" s="56">
        <v>0.24</v>
      </c>
      <c r="O13" s="56">
        <v>0.16</v>
      </c>
      <c r="P13" s="56">
        <v>0.08</v>
      </c>
      <c r="Q13" s="56">
        <v>0</v>
      </c>
      <c r="R13" s="56"/>
      <c r="S13" s="56"/>
      <c r="T13" s="56"/>
      <c r="U13" s="56">
        <v>3</v>
      </c>
    </row>
    <row r="14" spans="2:21" x14ac:dyDescent="0.3">
      <c r="B14" s="56" t="s">
        <v>654</v>
      </c>
      <c r="C14" s="56">
        <v>7867</v>
      </c>
      <c r="D14" s="56">
        <v>5372</v>
      </c>
      <c r="E14" s="56" t="s">
        <v>592</v>
      </c>
      <c r="F14" s="56">
        <v>1</v>
      </c>
      <c r="G14" s="56" t="s">
        <v>642</v>
      </c>
      <c r="H14" s="56" t="s">
        <v>43</v>
      </c>
      <c r="I14" s="56" t="s">
        <v>90</v>
      </c>
      <c r="J14" s="56" t="s">
        <v>591</v>
      </c>
      <c r="K14" s="56" t="s">
        <v>42</v>
      </c>
      <c r="L14" s="56">
        <v>0.4</v>
      </c>
      <c r="M14" s="56">
        <v>0.32</v>
      </c>
      <c r="N14" s="56">
        <v>0.24</v>
      </c>
      <c r="O14" s="56">
        <v>0.16</v>
      </c>
      <c r="P14" s="56">
        <v>0.08</v>
      </c>
      <c r="Q14" s="56">
        <v>0</v>
      </c>
      <c r="R14" s="56"/>
      <c r="S14" s="56"/>
      <c r="T14" s="56"/>
      <c r="U14" s="56">
        <v>3</v>
      </c>
    </row>
    <row r="15" spans="2:21" x14ac:dyDescent="0.3">
      <c r="B15" s="56" t="s">
        <v>655</v>
      </c>
      <c r="C15" s="56">
        <v>7854</v>
      </c>
      <c r="D15" s="56">
        <v>5372</v>
      </c>
      <c r="E15" s="56" t="s">
        <v>75</v>
      </c>
      <c r="F15" s="56">
        <v>1</v>
      </c>
      <c r="G15" s="56" t="s">
        <v>642</v>
      </c>
      <c r="H15" s="56" t="s">
        <v>48</v>
      </c>
      <c r="I15" s="56" t="s">
        <v>49</v>
      </c>
      <c r="J15" s="56" t="s">
        <v>591</v>
      </c>
      <c r="K15" s="56" t="s">
        <v>35</v>
      </c>
      <c r="L15" s="56">
        <v>0.15</v>
      </c>
      <c r="M15" s="56">
        <v>0.12</v>
      </c>
      <c r="N15" s="56">
        <v>0.09</v>
      </c>
      <c r="O15" s="56">
        <v>0.06</v>
      </c>
      <c r="P15" s="56">
        <v>0.03</v>
      </c>
      <c r="Q15" s="56">
        <v>0</v>
      </c>
      <c r="R15" s="56"/>
      <c r="S15" s="56"/>
      <c r="T15" s="56"/>
      <c r="U15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7064E-AF46-440B-B0E5-29342575007D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4" t="s">
        <v>1059</v>
      </c>
      <c r="B1" s="74" t="s">
        <v>22</v>
      </c>
      <c r="C1" s="74" t="s">
        <v>1058</v>
      </c>
      <c r="D1" s="74" t="s">
        <v>1057</v>
      </c>
      <c r="E1" s="74" t="s">
        <v>33</v>
      </c>
      <c r="F1" s="74" t="s">
        <v>1056</v>
      </c>
      <c r="G1" s="74" t="s">
        <v>1055</v>
      </c>
      <c r="H1" s="74" t="s">
        <v>559</v>
      </c>
      <c r="I1" s="74" t="s">
        <v>35</v>
      </c>
      <c r="J1" s="74" t="s">
        <v>558</v>
      </c>
      <c r="K1" s="74" t="s">
        <v>557</v>
      </c>
      <c r="L1" s="74" t="s">
        <v>556</v>
      </c>
    </row>
    <row r="2" spans="1:12" x14ac:dyDescent="0.2">
      <c r="A2" s="70" t="s">
        <v>1054</v>
      </c>
      <c r="B2" s="76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555.7477375982055</v>
      </c>
      <c r="C2" s="76">
        <f t="shared" si="0"/>
        <v>522.49039267106878</v>
      </c>
      <c r="D2" s="76">
        <f t="shared" si="0"/>
        <v>511.40461102868989</v>
      </c>
      <c r="E2" s="76">
        <f t="shared" si="0"/>
        <v>555.7477375982055</v>
      </c>
      <c r="F2" s="76">
        <f t="shared" si="0"/>
        <v>305.73418845297607</v>
      </c>
      <c r="G2" s="76">
        <f t="shared" si="0"/>
        <v>333.44864255892327</v>
      </c>
      <c r="H2" s="76">
        <f t="shared" si="0"/>
        <v>0</v>
      </c>
      <c r="I2" s="76">
        <f t="shared" si="0"/>
        <v>679.45296600613995</v>
      </c>
      <c r="J2" s="76">
        <f t="shared" si="0"/>
        <v>0</v>
      </c>
      <c r="K2" s="76">
        <f t="shared" si="0"/>
        <v>0</v>
      </c>
      <c r="L2" s="76">
        <f t="shared" si="0"/>
        <v>0</v>
      </c>
    </row>
    <row r="3" spans="1:12" ht="10.8" thickBot="1" x14ac:dyDescent="0.25">
      <c r="A3" s="68" t="s">
        <v>1053</v>
      </c>
      <c r="B3" s="75">
        <v>19.05</v>
      </c>
      <c r="C3" s="75">
        <v>17.91</v>
      </c>
      <c r="D3" s="75">
        <v>17.53</v>
      </c>
      <c r="E3" s="75">
        <v>19.05</v>
      </c>
      <c r="F3" s="75">
        <v>10.48</v>
      </c>
      <c r="G3" s="75">
        <v>11.43</v>
      </c>
      <c r="H3" s="75">
        <v>0</v>
      </c>
      <c r="I3" s="75">
        <f>'TUSD BE'!$AC$6</f>
        <v>23.290385415432702</v>
      </c>
      <c r="J3" s="75">
        <v>0</v>
      </c>
      <c r="K3" s="75">
        <v>0</v>
      </c>
      <c r="L3" s="75">
        <v>0</v>
      </c>
    </row>
    <row r="5" spans="1:12" ht="10.8" thickBot="1" x14ac:dyDescent="0.25">
      <c r="A5" s="74" t="s">
        <v>1052</v>
      </c>
      <c r="B5" s="74" t="s">
        <v>1051</v>
      </c>
    </row>
    <row r="6" spans="1:12" x14ac:dyDescent="0.2">
      <c r="A6" s="70" t="s">
        <v>1050</v>
      </c>
      <c r="B6" s="73">
        <v>9.9699999999999997E-2</v>
      </c>
    </row>
    <row r="7" spans="1:12" x14ac:dyDescent="0.2">
      <c r="A7" s="72" t="s">
        <v>1049</v>
      </c>
      <c r="B7" s="71">
        <v>0</v>
      </c>
    </row>
    <row r="8" spans="1:12" x14ac:dyDescent="0.2">
      <c r="A8" s="70" t="s">
        <v>1048</v>
      </c>
      <c r="B8" s="69">
        <v>8187898</v>
      </c>
    </row>
    <row r="9" spans="1:12" x14ac:dyDescent="0.2">
      <c r="A9" s="72" t="s">
        <v>1047</v>
      </c>
      <c r="B9" s="71">
        <v>0.04</v>
      </c>
    </row>
    <row r="10" spans="1:12" x14ac:dyDescent="0.2">
      <c r="A10" s="70" t="s">
        <v>1046</v>
      </c>
      <c r="B10" s="69">
        <v>6000000</v>
      </c>
    </row>
    <row r="11" spans="1:12" ht="10.8" thickBot="1" x14ac:dyDescent="0.25">
      <c r="A11" s="68" t="s">
        <v>1045</v>
      </c>
      <c r="B11" s="67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EFAF-6D46-4F02-8C4D-E7540B7D043C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20" t="s">
        <v>1099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3">
      <c r="L2" s="121" t="s">
        <v>424</v>
      </c>
      <c r="M2" s="121"/>
      <c r="N2" s="121"/>
      <c r="O2" s="121"/>
      <c r="P2" s="121"/>
      <c r="Q2" s="121"/>
      <c r="R2" s="121"/>
      <c r="S2" s="122"/>
      <c r="T2" s="121" t="s">
        <v>433</v>
      </c>
      <c r="U2" s="121"/>
      <c r="V2" s="121"/>
      <c r="W2" s="121"/>
      <c r="X2" s="121"/>
      <c r="Y2" s="121"/>
      <c r="Z2" s="122"/>
      <c r="AA2" s="123" t="s">
        <v>441</v>
      </c>
      <c r="AB2" s="121" t="s">
        <v>25</v>
      </c>
      <c r="AC2" s="121"/>
      <c r="AD2" s="122"/>
      <c r="AE2" s="121" t="s">
        <v>1098</v>
      </c>
      <c r="AF2" s="121"/>
      <c r="AG2" s="121"/>
      <c r="AH2" s="122"/>
      <c r="AI2" s="121" t="s">
        <v>424</v>
      </c>
      <c r="AJ2" s="121"/>
      <c r="AK2" s="121"/>
      <c r="AL2" s="121"/>
      <c r="AM2" s="122"/>
      <c r="AN2" s="123" t="s">
        <v>455</v>
      </c>
      <c r="AO2" s="121" t="s">
        <v>433</v>
      </c>
      <c r="AP2" s="121"/>
      <c r="AQ2" s="121"/>
      <c r="AR2" s="121"/>
      <c r="AS2" s="122"/>
      <c r="AT2" s="124" t="s">
        <v>1098</v>
      </c>
    </row>
    <row r="3" spans="2:46" ht="12" customHeight="1" x14ac:dyDescent="0.3">
      <c r="B3" s="111" t="s">
        <v>62</v>
      </c>
      <c r="C3" s="112" t="s">
        <v>63</v>
      </c>
      <c r="D3" s="112" t="s">
        <v>64</v>
      </c>
      <c r="E3" s="112" t="s">
        <v>65</v>
      </c>
      <c r="F3" s="112" t="s">
        <v>66</v>
      </c>
      <c r="G3" s="112" t="s">
        <v>68</v>
      </c>
      <c r="H3" s="112" t="s">
        <v>69</v>
      </c>
      <c r="I3" s="112" t="s">
        <v>701</v>
      </c>
      <c r="J3" s="112" t="s">
        <v>1060</v>
      </c>
      <c r="K3" s="112" t="s">
        <v>1061</v>
      </c>
      <c r="L3" s="112" t="s">
        <v>1062</v>
      </c>
      <c r="M3" s="112" t="s">
        <v>1063</v>
      </c>
      <c r="N3" s="112" t="s">
        <v>1064</v>
      </c>
      <c r="O3" s="112" t="s">
        <v>1065</v>
      </c>
      <c r="P3" s="112" t="s">
        <v>1066</v>
      </c>
      <c r="Q3" s="112" t="s">
        <v>1067</v>
      </c>
      <c r="R3" s="112" t="s">
        <v>1068</v>
      </c>
      <c r="S3" s="112" t="s">
        <v>1069</v>
      </c>
      <c r="T3" s="112" t="s">
        <v>1070</v>
      </c>
      <c r="U3" s="112" t="s">
        <v>1071</v>
      </c>
      <c r="V3" s="112" t="s">
        <v>1072</v>
      </c>
      <c r="W3" s="112" t="s">
        <v>1073</v>
      </c>
      <c r="X3" s="112" t="s">
        <v>1074</v>
      </c>
      <c r="Y3" s="112" t="s">
        <v>1075</v>
      </c>
      <c r="Z3" s="112" t="s">
        <v>1076</v>
      </c>
      <c r="AA3" s="112" t="s">
        <v>1077</v>
      </c>
      <c r="AB3" s="112" t="s">
        <v>1078</v>
      </c>
      <c r="AC3" s="112" t="s">
        <v>1079</v>
      </c>
      <c r="AD3" s="112" t="s">
        <v>1080</v>
      </c>
      <c r="AE3" s="112" t="s">
        <v>1081</v>
      </c>
      <c r="AF3" s="112" t="s">
        <v>1082</v>
      </c>
      <c r="AG3" s="112" t="s">
        <v>1083</v>
      </c>
      <c r="AH3" s="112" t="s">
        <v>1084</v>
      </c>
      <c r="AI3" s="112" t="s">
        <v>1085</v>
      </c>
      <c r="AJ3" s="112" t="s">
        <v>1086</v>
      </c>
      <c r="AK3" s="112" t="s">
        <v>1087</v>
      </c>
      <c r="AL3" s="112" t="s">
        <v>1088</v>
      </c>
      <c r="AM3" s="112" t="s">
        <v>1089</v>
      </c>
      <c r="AN3" s="112" t="s">
        <v>1090</v>
      </c>
      <c r="AO3" s="112" t="s">
        <v>1091</v>
      </c>
      <c r="AP3" s="112" t="s">
        <v>1092</v>
      </c>
      <c r="AQ3" s="112" t="s">
        <v>1093</v>
      </c>
      <c r="AR3" s="112" t="s">
        <v>1094</v>
      </c>
      <c r="AS3" s="112" t="s">
        <v>1095</v>
      </c>
      <c r="AT3" s="113" t="s">
        <v>1096</v>
      </c>
    </row>
    <row r="4" spans="2:46" ht="12" customHeight="1" x14ac:dyDescent="0.3">
      <c r="B4" s="114" t="s">
        <v>35</v>
      </c>
      <c r="C4" s="115" t="s">
        <v>75</v>
      </c>
      <c r="D4" s="115" t="s">
        <v>25</v>
      </c>
      <c r="E4" s="115" t="s">
        <v>25</v>
      </c>
      <c r="F4" s="115" t="s">
        <v>80</v>
      </c>
      <c r="G4" s="115" t="s">
        <v>37</v>
      </c>
      <c r="H4" s="115" t="s">
        <v>72</v>
      </c>
      <c r="I4" s="115" t="s">
        <v>25</v>
      </c>
      <c r="J4" s="115">
        <v>1.58</v>
      </c>
      <c r="K4" s="115">
        <v>0</v>
      </c>
      <c r="L4" s="115">
        <v>0</v>
      </c>
      <c r="M4" s="115">
        <v>0.84570768507407001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0.70464628391697404</v>
      </c>
      <c r="AF4" s="115">
        <v>2.8476354748969101E-2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3">
      <c r="B5" s="114" t="s">
        <v>35</v>
      </c>
      <c r="C5" s="115" t="s">
        <v>75</v>
      </c>
      <c r="D5" s="115" t="s">
        <v>25</v>
      </c>
      <c r="E5" s="115" t="s">
        <v>25</v>
      </c>
      <c r="F5" s="115" t="s">
        <v>80</v>
      </c>
      <c r="G5" s="115" t="s">
        <v>37</v>
      </c>
      <c r="H5" s="115" t="s">
        <v>76</v>
      </c>
      <c r="I5" s="115" t="s">
        <v>25</v>
      </c>
      <c r="J5" s="115">
        <v>90.43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36.483764873793497</v>
      </c>
      <c r="Y5" s="115">
        <v>0</v>
      </c>
      <c r="Z5" s="115">
        <v>0</v>
      </c>
      <c r="AA5" s="115">
        <v>53.950708785352397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3">
      <c r="B6" s="114" t="s">
        <v>35</v>
      </c>
      <c r="C6" s="115" t="s">
        <v>75</v>
      </c>
      <c r="D6" s="115" t="s">
        <v>25</v>
      </c>
      <c r="E6" s="115" t="s">
        <v>25</v>
      </c>
      <c r="F6" s="115" t="s">
        <v>80</v>
      </c>
      <c r="G6" s="115" t="s">
        <v>38</v>
      </c>
      <c r="H6" s="115" t="s">
        <v>72</v>
      </c>
      <c r="I6" s="115" t="s">
        <v>25</v>
      </c>
      <c r="J6" s="115">
        <v>1.58</v>
      </c>
      <c r="K6" s="115">
        <v>0</v>
      </c>
      <c r="L6" s="115">
        <v>0</v>
      </c>
      <c r="M6" s="115">
        <v>0.84570768507407001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0.70464628391697404</v>
      </c>
      <c r="AF6" s="115">
        <v>2.8476354748969101E-2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3">
      <c r="B7" s="114" t="s">
        <v>35</v>
      </c>
      <c r="C7" s="115" t="s">
        <v>75</v>
      </c>
      <c r="D7" s="115" t="s">
        <v>25</v>
      </c>
      <c r="E7" s="115" t="s">
        <v>25</v>
      </c>
      <c r="F7" s="115" t="s">
        <v>80</v>
      </c>
      <c r="G7" s="115" t="s">
        <v>38</v>
      </c>
      <c r="H7" s="115" t="s">
        <v>76</v>
      </c>
      <c r="I7" s="115" t="s">
        <v>25</v>
      </c>
      <c r="J7" s="115">
        <v>29.82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14.7462337044518</v>
      </c>
      <c r="Y7" s="115">
        <v>0</v>
      </c>
      <c r="Z7" s="115">
        <v>0</v>
      </c>
      <c r="AA7" s="115">
        <v>15.0756356223715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3">
      <c r="B8" s="114" t="s">
        <v>35</v>
      </c>
      <c r="C8" s="115" t="s">
        <v>75</v>
      </c>
      <c r="D8" s="115" t="s">
        <v>25</v>
      </c>
      <c r="E8" s="115" t="s">
        <v>25</v>
      </c>
      <c r="F8" s="115" t="s">
        <v>25</v>
      </c>
      <c r="G8" s="115" t="s">
        <v>37</v>
      </c>
      <c r="H8" s="115" t="s">
        <v>72</v>
      </c>
      <c r="I8" s="115" t="s">
        <v>25</v>
      </c>
      <c r="J8" s="115">
        <v>88.7</v>
      </c>
      <c r="K8" s="115">
        <v>191.01</v>
      </c>
      <c r="L8" s="115">
        <v>0</v>
      </c>
      <c r="M8" s="115">
        <v>0.84570768507407001</v>
      </c>
      <c r="N8" s="115">
        <v>0</v>
      </c>
      <c r="O8" s="115">
        <v>0</v>
      </c>
      <c r="P8" s="115">
        <v>0</v>
      </c>
      <c r="Q8" s="115">
        <v>73.402650226135407</v>
      </c>
      <c r="R8" s="115">
        <v>13.7137120640805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0.70464628391697404</v>
      </c>
      <c r="AF8" s="115">
        <v>2.8476354748969101E-2</v>
      </c>
      <c r="AG8" s="115">
        <v>0</v>
      </c>
      <c r="AH8" s="115">
        <v>0</v>
      </c>
      <c r="AI8" s="115">
        <v>0</v>
      </c>
      <c r="AJ8" s="115">
        <v>-13.8459357530042</v>
      </c>
      <c r="AK8" s="115">
        <v>0</v>
      </c>
      <c r="AL8" s="115">
        <v>32.6542968882205</v>
      </c>
      <c r="AM8" s="115">
        <v>0</v>
      </c>
      <c r="AN8" s="115">
        <v>165.51049825050299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6.68865467743713</v>
      </c>
    </row>
    <row r="9" spans="2:46" ht="12" customHeight="1" x14ac:dyDescent="0.3">
      <c r="B9" s="114" t="s">
        <v>35</v>
      </c>
      <c r="C9" s="115" t="s">
        <v>75</v>
      </c>
      <c r="D9" s="115" t="s">
        <v>25</v>
      </c>
      <c r="E9" s="115" t="s">
        <v>25</v>
      </c>
      <c r="F9" s="115" t="s">
        <v>25</v>
      </c>
      <c r="G9" s="115" t="s">
        <v>37</v>
      </c>
      <c r="H9" s="115" t="s">
        <v>76</v>
      </c>
      <c r="I9" s="115" t="s">
        <v>25</v>
      </c>
      <c r="J9" s="115">
        <v>90.43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36.483764873793497</v>
      </c>
      <c r="Y9" s="115">
        <v>0</v>
      </c>
      <c r="Z9" s="115">
        <v>0</v>
      </c>
      <c r="AA9" s="115">
        <v>53.950708785352397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3">
      <c r="B10" s="114" t="s">
        <v>35</v>
      </c>
      <c r="C10" s="115" t="s">
        <v>75</v>
      </c>
      <c r="D10" s="115" t="s">
        <v>25</v>
      </c>
      <c r="E10" s="115" t="s">
        <v>25</v>
      </c>
      <c r="F10" s="115" t="s">
        <v>25</v>
      </c>
      <c r="G10" s="115" t="s">
        <v>38</v>
      </c>
      <c r="H10" s="115" t="s">
        <v>72</v>
      </c>
      <c r="I10" s="115" t="s">
        <v>25</v>
      </c>
      <c r="J10" s="115">
        <v>88.7</v>
      </c>
      <c r="K10" s="115">
        <v>191.01</v>
      </c>
      <c r="L10" s="115">
        <v>0</v>
      </c>
      <c r="M10" s="115">
        <v>0.84570768507407001</v>
      </c>
      <c r="N10" s="115">
        <v>0</v>
      </c>
      <c r="O10" s="115">
        <v>0</v>
      </c>
      <c r="P10" s="115">
        <v>0</v>
      </c>
      <c r="Q10" s="115">
        <v>73.402650226135407</v>
      </c>
      <c r="R10" s="115">
        <v>13.7137120640805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0.70464628391697404</v>
      </c>
      <c r="AF10" s="115">
        <v>2.8476354748969101E-2</v>
      </c>
      <c r="AG10" s="115">
        <v>0</v>
      </c>
      <c r="AH10" s="115">
        <v>0</v>
      </c>
      <c r="AI10" s="115">
        <v>0</v>
      </c>
      <c r="AJ10" s="115">
        <v>-13.8459357530042</v>
      </c>
      <c r="AK10" s="115">
        <v>0</v>
      </c>
      <c r="AL10" s="115">
        <v>32.6542968882205</v>
      </c>
      <c r="AM10" s="115">
        <v>0</v>
      </c>
      <c r="AN10" s="115">
        <v>165.51049825050299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6.68865467743713</v>
      </c>
    </row>
    <row r="11" spans="2:46" ht="12" customHeight="1" x14ac:dyDescent="0.3">
      <c r="B11" s="114" t="s">
        <v>35</v>
      </c>
      <c r="C11" s="115" t="s">
        <v>75</v>
      </c>
      <c r="D11" s="115" t="s">
        <v>25</v>
      </c>
      <c r="E11" s="115" t="s">
        <v>25</v>
      </c>
      <c r="F11" s="115" t="s">
        <v>25</v>
      </c>
      <c r="G11" s="115" t="s">
        <v>38</v>
      </c>
      <c r="H11" s="115" t="s">
        <v>76</v>
      </c>
      <c r="I11" s="115" t="s">
        <v>25</v>
      </c>
      <c r="J11" s="115">
        <v>29.82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14.7462337044518</v>
      </c>
      <c r="Y11" s="115">
        <v>0</v>
      </c>
      <c r="Z11" s="115">
        <v>0</v>
      </c>
      <c r="AA11" s="115">
        <v>15.0756356223715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3">
      <c r="B12" s="114" t="s">
        <v>35</v>
      </c>
      <c r="C12" s="115" t="s">
        <v>81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76</v>
      </c>
      <c r="I12" s="115" t="s">
        <v>25</v>
      </c>
      <c r="J12" s="115">
        <v>6.83</v>
      </c>
      <c r="K12" s="115">
        <v>0</v>
      </c>
      <c r="L12" s="115">
        <v>0</v>
      </c>
      <c r="M12" s="115">
        <v>1.0494503330970399E-2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6.8202412512631101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3">
      <c r="B13" s="114" t="s">
        <v>35</v>
      </c>
      <c r="C13" s="115" t="s">
        <v>36</v>
      </c>
      <c r="D13" s="115" t="s">
        <v>25</v>
      </c>
      <c r="E13" s="115" t="s">
        <v>25</v>
      </c>
      <c r="F13" s="115" t="s">
        <v>80</v>
      </c>
      <c r="G13" s="115" t="s">
        <v>37</v>
      </c>
      <c r="H13" s="115" t="s">
        <v>72</v>
      </c>
      <c r="I13" s="115" t="s">
        <v>25</v>
      </c>
      <c r="J13" s="115">
        <v>2176.88</v>
      </c>
      <c r="K13" s="115">
        <v>0</v>
      </c>
      <c r="L13" s="115">
        <v>0</v>
      </c>
      <c r="M13" s="115">
        <v>0.84570768507407001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877.78405680775802</v>
      </c>
      <c r="Y13" s="115">
        <v>0</v>
      </c>
      <c r="Z13" s="115">
        <v>0</v>
      </c>
      <c r="AA13" s="115">
        <v>1297.51563870578</v>
      </c>
      <c r="AB13" s="115">
        <v>0</v>
      </c>
      <c r="AC13" s="115">
        <v>0</v>
      </c>
      <c r="AD13" s="115">
        <v>0</v>
      </c>
      <c r="AE13" s="115">
        <v>0.70464628391697404</v>
      </c>
      <c r="AF13" s="115">
        <v>2.8476354748969101E-2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3">
      <c r="B14" s="114" t="s">
        <v>35</v>
      </c>
      <c r="C14" s="115" t="s">
        <v>36</v>
      </c>
      <c r="D14" s="115" t="s">
        <v>25</v>
      </c>
      <c r="E14" s="115" t="s">
        <v>25</v>
      </c>
      <c r="F14" s="115" t="s">
        <v>80</v>
      </c>
      <c r="G14" s="115" t="s">
        <v>25</v>
      </c>
      <c r="H14" s="115" t="s">
        <v>76</v>
      </c>
      <c r="I14" s="115" t="s">
        <v>25</v>
      </c>
      <c r="J14" s="115">
        <v>29.82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14.7462337044518</v>
      </c>
      <c r="Y14" s="115">
        <v>0</v>
      </c>
      <c r="Z14" s="115">
        <v>0</v>
      </c>
      <c r="AA14" s="115">
        <v>15.0756356223715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3">
      <c r="B15" s="114" t="s">
        <v>35</v>
      </c>
      <c r="C15" s="115" t="s">
        <v>36</v>
      </c>
      <c r="D15" s="115" t="s">
        <v>25</v>
      </c>
      <c r="E15" s="115" t="s">
        <v>25</v>
      </c>
      <c r="F15" s="115" t="s">
        <v>80</v>
      </c>
      <c r="G15" s="115" t="s">
        <v>38</v>
      </c>
      <c r="H15" s="115" t="s">
        <v>72</v>
      </c>
      <c r="I15" s="115" t="s">
        <v>25</v>
      </c>
      <c r="J15" s="115">
        <v>1.58</v>
      </c>
      <c r="K15" s="115">
        <v>0</v>
      </c>
      <c r="L15" s="115">
        <v>0</v>
      </c>
      <c r="M15" s="115">
        <v>0.84570768507407001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0.70464628391697404</v>
      </c>
      <c r="AF15" s="115">
        <v>2.8476354748969101E-2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3">
      <c r="B16" s="114" t="s">
        <v>35</v>
      </c>
      <c r="C16" s="115" t="s">
        <v>36</v>
      </c>
      <c r="D16" s="115" t="s">
        <v>25</v>
      </c>
      <c r="E16" s="115" t="s">
        <v>25</v>
      </c>
      <c r="F16" s="115" t="s">
        <v>25</v>
      </c>
      <c r="G16" s="115" t="s">
        <v>37</v>
      </c>
      <c r="H16" s="115" t="s">
        <v>72</v>
      </c>
      <c r="I16" s="115" t="s">
        <v>25</v>
      </c>
      <c r="J16" s="115">
        <v>2263.9899999999998</v>
      </c>
      <c r="K16" s="115">
        <v>191.01</v>
      </c>
      <c r="L16" s="115">
        <v>0</v>
      </c>
      <c r="M16" s="115">
        <v>0.84570768507407001</v>
      </c>
      <c r="N16" s="115">
        <v>0</v>
      </c>
      <c r="O16" s="115">
        <v>0</v>
      </c>
      <c r="P16" s="115">
        <v>0</v>
      </c>
      <c r="Q16" s="115">
        <v>73.402650226135407</v>
      </c>
      <c r="R16" s="115">
        <v>13.7137120640805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877.78405680775802</v>
      </c>
      <c r="Y16" s="115">
        <v>0</v>
      </c>
      <c r="Z16" s="115">
        <v>0</v>
      </c>
      <c r="AA16" s="115">
        <v>1297.51563870578</v>
      </c>
      <c r="AB16" s="115">
        <v>0</v>
      </c>
      <c r="AC16" s="115">
        <v>0</v>
      </c>
      <c r="AD16" s="115">
        <v>0</v>
      </c>
      <c r="AE16" s="115">
        <v>0.70464628391697404</v>
      </c>
      <c r="AF16" s="115">
        <v>2.8476354748969101E-2</v>
      </c>
      <c r="AG16" s="115">
        <v>0</v>
      </c>
      <c r="AH16" s="115">
        <v>0</v>
      </c>
      <c r="AI16" s="115">
        <v>0</v>
      </c>
      <c r="AJ16" s="115">
        <v>-13.8459357530042</v>
      </c>
      <c r="AK16" s="115">
        <v>0</v>
      </c>
      <c r="AL16" s="115">
        <v>32.6542968882205</v>
      </c>
      <c r="AM16" s="115">
        <v>0</v>
      </c>
      <c r="AN16" s="115">
        <v>165.51049825050299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6.68865467743713</v>
      </c>
    </row>
    <row r="17" spans="2:46" ht="12" customHeight="1" x14ac:dyDescent="0.3">
      <c r="B17" s="114" t="s">
        <v>35</v>
      </c>
      <c r="C17" s="115" t="s">
        <v>36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76</v>
      </c>
      <c r="I17" s="115" t="s">
        <v>25</v>
      </c>
      <c r="J17" s="115">
        <v>29.82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14.7462337044518</v>
      </c>
      <c r="Y17" s="115">
        <v>0</v>
      </c>
      <c r="Z17" s="115">
        <v>0</v>
      </c>
      <c r="AA17" s="115">
        <v>15.0756356223715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3">
      <c r="B18" s="114" t="s">
        <v>35</v>
      </c>
      <c r="C18" s="115" t="s">
        <v>36</v>
      </c>
      <c r="D18" s="115" t="s">
        <v>25</v>
      </c>
      <c r="E18" s="115" t="s">
        <v>25</v>
      </c>
      <c r="F18" s="115" t="s">
        <v>25</v>
      </c>
      <c r="G18" s="115" t="s">
        <v>38</v>
      </c>
      <c r="H18" s="115" t="s">
        <v>72</v>
      </c>
      <c r="I18" s="115" t="s">
        <v>25</v>
      </c>
      <c r="J18" s="115">
        <v>88.7</v>
      </c>
      <c r="K18" s="115">
        <v>191.01</v>
      </c>
      <c r="L18" s="115">
        <v>0</v>
      </c>
      <c r="M18" s="115">
        <v>0.84570768507407001</v>
      </c>
      <c r="N18" s="115">
        <v>0</v>
      </c>
      <c r="O18" s="115">
        <v>0</v>
      </c>
      <c r="P18" s="115">
        <v>0</v>
      </c>
      <c r="Q18" s="115">
        <v>73.402650226135407</v>
      </c>
      <c r="R18" s="115">
        <v>13.7137120640805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0.70464628391697404</v>
      </c>
      <c r="AF18" s="115">
        <v>2.8476354748969101E-2</v>
      </c>
      <c r="AG18" s="115">
        <v>0</v>
      </c>
      <c r="AH18" s="115">
        <v>0</v>
      </c>
      <c r="AI18" s="115">
        <v>0</v>
      </c>
      <c r="AJ18" s="115">
        <v>-13.8459357530042</v>
      </c>
      <c r="AK18" s="115">
        <v>0</v>
      </c>
      <c r="AL18" s="115">
        <v>32.6542968882205</v>
      </c>
      <c r="AM18" s="115">
        <v>0</v>
      </c>
      <c r="AN18" s="115">
        <v>165.51049825050299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6.68865467743713</v>
      </c>
    </row>
    <row r="19" spans="2:46" ht="12" customHeight="1" x14ac:dyDescent="0.3">
      <c r="B19" s="114" t="s">
        <v>82</v>
      </c>
      <c r="C19" s="115" t="s">
        <v>81</v>
      </c>
      <c r="D19" s="115" t="s">
        <v>25</v>
      </c>
      <c r="E19" s="115" t="s">
        <v>25</v>
      </c>
      <c r="F19" s="115" t="s">
        <v>83</v>
      </c>
      <c r="G19" s="115" t="s">
        <v>25</v>
      </c>
      <c r="H19" s="115" t="s">
        <v>76</v>
      </c>
      <c r="I19" s="115" t="s">
        <v>25</v>
      </c>
      <c r="J19" s="115">
        <v>7.05</v>
      </c>
      <c r="K19" s="115">
        <v>0</v>
      </c>
      <c r="L19" s="115">
        <v>0</v>
      </c>
      <c r="M19" s="115">
        <v>1.07943462832839E-2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7.0349946545545201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3">
      <c r="B20" s="114" t="s">
        <v>82</v>
      </c>
      <c r="C20" s="115" t="s">
        <v>81</v>
      </c>
      <c r="D20" s="115" t="s">
        <v>25</v>
      </c>
      <c r="E20" s="115" t="s">
        <v>25</v>
      </c>
      <c r="F20" s="115" t="s">
        <v>84</v>
      </c>
      <c r="G20" s="115" t="s">
        <v>25</v>
      </c>
      <c r="H20" s="115" t="s">
        <v>76</v>
      </c>
      <c r="I20" s="115" t="s">
        <v>25</v>
      </c>
      <c r="J20" s="115">
        <v>14.32</v>
      </c>
      <c r="K20" s="115">
        <v>0</v>
      </c>
      <c r="L20" s="115">
        <v>0</v>
      </c>
      <c r="M20" s="115">
        <v>1.07943462832839E-2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14.3130745302871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3">
      <c r="B21" s="114" t="s">
        <v>22</v>
      </c>
      <c r="C21" s="115" t="s">
        <v>40</v>
      </c>
      <c r="D21" s="115" t="s">
        <v>24</v>
      </c>
      <c r="E21" s="115" t="s">
        <v>24</v>
      </c>
      <c r="F21" s="115" t="s">
        <v>25</v>
      </c>
      <c r="G21" s="115" t="s">
        <v>37</v>
      </c>
      <c r="H21" s="115" t="s">
        <v>72</v>
      </c>
      <c r="I21" s="115" t="s">
        <v>25</v>
      </c>
      <c r="J21" s="115">
        <v>1032.1199999999999</v>
      </c>
      <c r="K21" s="115">
        <v>191.01</v>
      </c>
      <c r="L21" s="115">
        <v>0</v>
      </c>
      <c r="M21" s="115">
        <v>1.5239449365137101</v>
      </c>
      <c r="N21" s="115">
        <v>0</v>
      </c>
      <c r="O21" s="115">
        <v>0</v>
      </c>
      <c r="P21" s="115">
        <v>0</v>
      </c>
      <c r="Q21" s="115">
        <v>87.384107412066001</v>
      </c>
      <c r="R21" s="115">
        <v>13.7137120640805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321.362586399252</v>
      </c>
      <c r="Y21" s="115">
        <v>0</v>
      </c>
      <c r="Z21" s="115">
        <v>0</v>
      </c>
      <c r="AA21" s="115">
        <v>606.23713398080895</v>
      </c>
      <c r="AB21" s="115">
        <v>0</v>
      </c>
      <c r="AC21" s="115">
        <v>0</v>
      </c>
      <c r="AD21" s="115">
        <v>0</v>
      </c>
      <c r="AE21" s="115">
        <v>1.82492278055234</v>
      </c>
      <c r="AF21" s="115">
        <v>7.3749269207253207E-2</v>
      </c>
      <c r="AG21" s="115">
        <v>0</v>
      </c>
      <c r="AH21" s="115">
        <v>0</v>
      </c>
      <c r="AI21" s="115">
        <v>0</v>
      </c>
      <c r="AJ21" s="115">
        <v>-13.8459357530042</v>
      </c>
      <c r="AK21" s="115">
        <v>0</v>
      </c>
      <c r="AL21" s="115">
        <v>32.6542968882205</v>
      </c>
      <c r="AM21" s="115">
        <v>0</v>
      </c>
      <c r="AN21" s="115">
        <v>165.51049825050299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6.68865467743713</v>
      </c>
    </row>
    <row r="22" spans="2:46" ht="12" customHeight="1" x14ac:dyDescent="0.3">
      <c r="B22" s="114" t="s">
        <v>22</v>
      </c>
      <c r="C22" s="115" t="s">
        <v>40</v>
      </c>
      <c r="D22" s="115" t="s">
        <v>24</v>
      </c>
      <c r="E22" s="115" t="s">
        <v>24</v>
      </c>
      <c r="F22" s="115" t="s">
        <v>25</v>
      </c>
      <c r="G22" s="115" t="s">
        <v>41</v>
      </c>
      <c r="H22" s="115" t="s">
        <v>72</v>
      </c>
      <c r="I22" s="115" t="s">
        <v>25</v>
      </c>
      <c r="J22" s="115">
        <v>661.08</v>
      </c>
      <c r="K22" s="115">
        <v>191.01</v>
      </c>
      <c r="L22" s="115">
        <v>0</v>
      </c>
      <c r="M22" s="115">
        <v>1.5239449365137101</v>
      </c>
      <c r="N22" s="115">
        <v>0</v>
      </c>
      <c r="O22" s="115">
        <v>0</v>
      </c>
      <c r="P22" s="115">
        <v>0</v>
      </c>
      <c r="Q22" s="115">
        <v>87.384107412066001</v>
      </c>
      <c r="R22" s="115">
        <v>13.7137120640805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192.817658399994</v>
      </c>
      <c r="Y22" s="115">
        <v>0</v>
      </c>
      <c r="Z22" s="115">
        <v>0</v>
      </c>
      <c r="AA22" s="115">
        <v>363.742440254543</v>
      </c>
      <c r="AB22" s="115">
        <v>0</v>
      </c>
      <c r="AC22" s="115">
        <v>0</v>
      </c>
      <c r="AD22" s="115">
        <v>0</v>
      </c>
      <c r="AE22" s="115">
        <v>1.82492278055234</v>
      </c>
      <c r="AF22" s="115">
        <v>7.3749269207253207E-2</v>
      </c>
      <c r="AG22" s="115">
        <v>0</v>
      </c>
      <c r="AH22" s="115">
        <v>0</v>
      </c>
      <c r="AI22" s="115">
        <v>0</v>
      </c>
      <c r="AJ22" s="115">
        <v>-13.8459357530042</v>
      </c>
      <c r="AK22" s="115">
        <v>0</v>
      </c>
      <c r="AL22" s="115">
        <v>32.6542968882205</v>
      </c>
      <c r="AM22" s="115">
        <v>0</v>
      </c>
      <c r="AN22" s="115">
        <v>165.51049825050299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6.68865467743713</v>
      </c>
    </row>
    <row r="23" spans="2:46" ht="12" customHeight="1" x14ac:dyDescent="0.3">
      <c r="B23" s="114" t="s">
        <v>22</v>
      </c>
      <c r="C23" s="115" t="s">
        <v>40</v>
      </c>
      <c r="D23" s="115" t="s">
        <v>24</v>
      </c>
      <c r="E23" s="115" t="s">
        <v>24</v>
      </c>
      <c r="F23" s="115" t="s">
        <v>25</v>
      </c>
      <c r="G23" s="115" t="s">
        <v>38</v>
      </c>
      <c r="H23" s="115" t="s">
        <v>72</v>
      </c>
      <c r="I23" s="115" t="s">
        <v>25</v>
      </c>
      <c r="J23" s="115">
        <v>290.10000000000002</v>
      </c>
      <c r="K23" s="115">
        <v>191.01</v>
      </c>
      <c r="L23" s="115">
        <v>0</v>
      </c>
      <c r="M23" s="115">
        <v>1.5239449365137101</v>
      </c>
      <c r="N23" s="115">
        <v>0</v>
      </c>
      <c r="O23" s="115">
        <v>0</v>
      </c>
      <c r="P23" s="115">
        <v>0</v>
      </c>
      <c r="Q23" s="115">
        <v>87.384107412066001</v>
      </c>
      <c r="R23" s="115">
        <v>13.7137120640805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64.331205443834506</v>
      </c>
      <c r="Y23" s="115">
        <v>0</v>
      </c>
      <c r="Z23" s="115">
        <v>0</v>
      </c>
      <c r="AA23" s="115">
        <v>121.247302455895</v>
      </c>
      <c r="AB23" s="115">
        <v>0</v>
      </c>
      <c r="AC23" s="115">
        <v>0</v>
      </c>
      <c r="AD23" s="115">
        <v>0</v>
      </c>
      <c r="AE23" s="115">
        <v>1.82492278055234</v>
      </c>
      <c r="AF23" s="115">
        <v>7.3749269207253207E-2</v>
      </c>
      <c r="AG23" s="115">
        <v>0</v>
      </c>
      <c r="AH23" s="115">
        <v>0</v>
      </c>
      <c r="AI23" s="115">
        <v>0</v>
      </c>
      <c r="AJ23" s="115">
        <v>-13.8459357530042</v>
      </c>
      <c r="AK23" s="115">
        <v>0</v>
      </c>
      <c r="AL23" s="115">
        <v>32.6542968882205</v>
      </c>
      <c r="AM23" s="115">
        <v>0</v>
      </c>
      <c r="AN23" s="115">
        <v>165.51049825050299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6.68865467743713</v>
      </c>
    </row>
    <row r="24" spans="2:46" ht="12" customHeight="1" x14ac:dyDescent="0.3">
      <c r="B24" s="114" t="s">
        <v>22</v>
      </c>
      <c r="C24" s="115" t="s">
        <v>23</v>
      </c>
      <c r="D24" s="115" t="s">
        <v>24</v>
      </c>
      <c r="E24" s="115" t="s">
        <v>1097</v>
      </c>
      <c r="F24" s="115" t="s">
        <v>25</v>
      </c>
      <c r="G24" s="115" t="s">
        <v>25</v>
      </c>
      <c r="H24" s="115" t="s">
        <v>72</v>
      </c>
      <c r="I24" s="115" t="s">
        <v>25</v>
      </c>
      <c r="J24" s="115">
        <v>346.92</v>
      </c>
      <c r="K24" s="115">
        <v>191.01</v>
      </c>
      <c r="L24" s="115">
        <v>0</v>
      </c>
      <c r="M24" s="115">
        <v>1.5239449365137101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118.96887378877</v>
      </c>
      <c r="Y24" s="115">
        <v>0</v>
      </c>
      <c r="Z24" s="115">
        <v>0</v>
      </c>
      <c r="AA24" s="115">
        <v>224.53232118611999</v>
      </c>
      <c r="AB24" s="115">
        <v>0</v>
      </c>
      <c r="AC24" s="115">
        <v>0</v>
      </c>
      <c r="AD24" s="115">
        <v>0</v>
      </c>
      <c r="AE24" s="115">
        <v>1.82492278055234</v>
      </c>
      <c r="AF24" s="115">
        <v>7.3749269207253207E-2</v>
      </c>
      <c r="AG24" s="115">
        <v>0</v>
      </c>
      <c r="AH24" s="115">
        <v>0</v>
      </c>
      <c r="AI24" s="115">
        <v>0</v>
      </c>
      <c r="AJ24" s="115">
        <v>-13.8459357530042</v>
      </c>
      <c r="AK24" s="115">
        <v>0</v>
      </c>
      <c r="AL24" s="115">
        <v>32.6542968882205</v>
      </c>
      <c r="AM24" s="115">
        <v>0</v>
      </c>
      <c r="AN24" s="115">
        <v>165.51049825050299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6.68865467743713</v>
      </c>
    </row>
    <row r="25" spans="2:46" ht="12" customHeight="1" x14ac:dyDescent="0.3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72</v>
      </c>
      <c r="I25" s="115" t="s">
        <v>25</v>
      </c>
      <c r="J25" s="115">
        <v>448.02</v>
      </c>
      <c r="K25" s="115">
        <v>191.01</v>
      </c>
      <c r="L25" s="115">
        <v>0</v>
      </c>
      <c r="M25" s="115">
        <v>1.5239449365137101</v>
      </c>
      <c r="N25" s="115">
        <v>0</v>
      </c>
      <c r="O25" s="115">
        <v>0</v>
      </c>
      <c r="P25" s="115">
        <v>0</v>
      </c>
      <c r="Q25" s="115">
        <v>87.384107412066001</v>
      </c>
      <c r="R25" s="115">
        <v>13.7137120640805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118.96887378877</v>
      </c>
      <c r="Y25" s="115">
        <v>0</v>
      </c>
      <c r="Z25" s="115">
        <v>0</v>
      </c>
      <c r="AA25" s="115">
        <v>224.53232118611999</v>
      </c>
      <c r="AB25" s="115">
        <v>0</v>
      </c>
      <c r="AC25" s="115">
        <v>0</v>
      </c>
      <c r="AD25" s="115">
        <v>0</v>
      </c>
      <c r="AE25" s="115">
        <v>1.82492278055234</v>
      </c>
      <c r="AF25" s="115">
        <v>7.3749269207253207E-2</v>
      </c>
      <c r="AG25" s="115">
        <v>0</v>
      </c>
      <c r="AH25" s="115">
        <v>0</v>
      </c>
      <c r="AI25" s="115">
        <v>0</v>
      </c>
      <c r="AJ25" s="115">
        <v>-13.8459357530042</v>
      </c>
      <c r="AK25" s="115">
        <v>0</v>
      </c>
      <c r="AL25" s="115">
        <v>32.6542968882205</v>
      </c>
      <c r="AM25" s="115">
        <v>0</v>
      </c>
      <c r="AN25" s="115">
        <v>165.51049825050299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6.68865467743713</v>
      </c>
    </row>
    <row r="26" spans="2:46" ht="12" customHeight="1" x14ac:dyDescent="0.3">
      <c r="B26" s="114" t="s">
        <v>22</v>
      </c>
      <c r="C26" s="115" t="s">
        <v>88</v>
      </c>
      <c r="D26" s="115" t="s">
        <v>24</v>
      </c>
      <c r="E26" s="115" t="s">
        <v>1097</v>
      </c>
      <c r="F26" s="115" t="s">
        <v>25</v>
      </c>
      <c r="G26" s="115" t="s">
        <v>25</v>
      </c>
      <c r="H26" s="115" t="s">
        <v>72</v>
      </c>
      <c r="I26" s="115" t="s">
        <v>25</v>
      </c>
      <c r="J26" s="115">
        <v>346.92</v>
      </c>
      <c r="K26" s="115">
        <v>191.01</v>
      </c>
      <c r="L26" s="115">
        <v>0</v>
      </c>
      <c r="M26" s="115">
        <v>1.5239449365137101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118.96887378877</v>
      </c>
      <c r="Y26" s="115">
        <v>0</v>
      </c>
      <c r="Z26" s="115">
        <v>0</v>
      </c>
      <c r="AA26" s="115">
        <v>224.53232118611999</v>
      </c>
      <c r="AB26" s="115">
        <v>0</v>
      </c>
      <c r="AC26" s="115">
        <v>0</v>
      </c>
      <c r="AD26" s="115">
        <v>0</v>
      </c>
      <c r="AE26" s="115">
        <v>1.82492278055234</v>
      </c>
      <c r="AF26" s="115">
        <v>7.3749269207253207E-2</v>
      </c>
      <c r="AG26" s="115">
        <v>0</v>
      </c>
      <c r="AH26" s="115">
        <v>0</v>
      </c>
      <c r="AI26" s="115">
        <v>0</v>
      </c>
      <c r="AJ26" s="115">
        <v>-13.8459357530042</v>
      </c>
      <c r="AK26" s="115">
        <v>0</v>
      </c>
      <c r="AL26" s="115">
        <v>32.6542968882205</v>
      </c>
      <c r="AM26" s="115">
        <v>0</v>
      </c>
      <c r="AN26" s="115">
        <v>165.51049825050299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6.68865467743713</v>
      </c>
    </row>
    <row r="27" spans="2:46" ht="12" customHeight="1" x14ac:dyDescent="0.3">
      <c r="B27" s="114" t="s">
        <v>22</v>
      </c>
      <c r="C27" s="115" t="s">
        <v>88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72</v>
      </c>
      <c r="I27" s="115" t="s">
        <v>25</v>
      </c>
      <c r="J27" s="115">
        <v>448.02</v>
      </c>
      <c r="K27" s="115">
        <v>191.01</v>
      </c>
      <c r="L27" s="115">
        <v>0</v>
      </c>
      <c r="M27" s="115">
        <v>1.5239449365137101</v>
      </c>
      <c r="N27" s="115">
        <v>0</v>
      </c>
      <c r="O27" s="115">
        <v>0</v>
      </c>
      <c r="P27" s="115">
        <v>0</v>
      </c>
      <c r="Q27" s="115">
        <v>87.384107412066001</v>
      </c>
      <c r="R27" s="115">
        <v>13.7137120640805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118.96887378877</v>
      </c>
      <c r="Y27" s="115">
        <v>0</v>
      </c>
      <c r="Z27" s="115">
        <v>0</v>
      </c>
      <c r="AA27" s="115">
        <v>224.53232118611999</v>
      </c>
      <c r="AB27" s="115">
        <v>0</v>
      </c>
      <c r="AC27" s="115">
        <v>0</v>
      </c>
      <c r="AD27" s="115">
        <v>0</v>
      </c>
      <c r="AE27" s="115">
        <v>1.82492278055234</v>
      </c>
      <c r="AF27" s="115">
        <v>7.3749269207253207E-2</v>
      </c>
      <c r="AG27" s="115">
        <v>0</v>
      </c>
      <c r="AH27" s="115">
        <v>0</v>
      </c>
      <c r="AI27" s="115">
        <v>0</v>
      </c>
      <c r="AJ27" s="115">
        <v>-13.8459357530042</v>
      </c>
      <c r="AK27" s="115">
        <v>0</v>
      </c>
      <c r="AL27" s="115">
        <v>32.6542968882205</v>
      </c>
      <c r="AM27" s="115">
        <v>0</v>
      </c>
      <c r="AN27" s="115">
        <v>165.51049825050299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6.68865467743713</v>
      </c>
    </row>
    <row r="28" spans="2:46" ht="12" customHeight="1" x14ac:dyDescent="0.3">
      <c r="B28" s="114" t="s">
        <v>42</v>
      </c>
      <c r="C28" s="115" t="s">
        <v>40</v>
      </c>
      <c r="D28" s="115" t="s">
        <v>43</v>
      </c>
      <c r="E28" s="115" t="s">
        <v>89</v>
      </c>
      <c r="F28" s="115" t="s">
        <v>25</v>
      </c>
      <c r="G28" s="115" t="s">
        <v>37</v>
      </c>
      <c r="H28" s="115" t="s">
        <v>72</v>
      </c>
      <c r="I28" s="115" t="s">
        <v>25</v>
      </c>
      <c r="J28" s="115">
        <v>1050.79</v>
      </c>
      <c r="K28" s="115">
        <v>179.55</v>
      </c>
      <c r="L28" s="115">
        <v>0</v>
      </c>
      <c r="M28" s="115">
        <v>1.4325082403228799</v>
      </c>
      <c r="N28" s="115">
        <v>0</v>
      </c>
      <c r="O28" s="115">
        <v>0</v>
      </c>
      <c r="P28" s="115">
        <v>0</v>
      </c>
      <c r="Q28" s="115">
        <v>82.141060967342099</v>
      </c>
      <c r="R28" s="115">
        <v>12.890889340235701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329.91430970329299</v>
      </c>
      <c r="Y28" s="115">
        <v>0</v>
      </c>
      <c r="Z28" s="115">
        <v>0</v>
      </c>
      <c r="AA28" s="115">
        <v>622.62806403490504</v>
      </c>
      <c r="AB28" s="115">
        <v>0</v>
      </c>
      <c r="AC28" s="115">
        <v>0</v>
      </c>
      <c r="AD28" s="115">
        <v>0</v>
      </c>
      <c r="AE28" s="115">
        <v>1.7154274137192</v>
      </c>
      <c r="AF28" s="115">
        <v>6.9324313054817996E-2</v>
      </c>
      <c r="AG28" s="115">
        <v>0</v>
      </c>
      <c r="AH28" s="115">
        <v>0</v>
      </c>
      <c r="AI28" s="115">
        <v>0</v>
      </c>
      <c r="AJ28" s="115">
        <v>-13.015179607823899</v>
      </c>
      <c r="AK28" s="115">
        <v>0</v>
      </c>
      <c r="AL28" s="115">
        <v>30.695039074927301</v>
      </c>
      <c r="AM28" s="115">
        <v>0</v>
      </c>
      <c r="AN28" s="115">
        <v>155.579868355473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6.2873353967909003</v>
      </c>
    </row>
    <row r="29" spans="2:46" ht="12" customHeight="1" x14ac:dyDescent="0.3">
      <c r="B29" s="114" t="s">
        <v>42</v>
      </c>
      <c r="C29" s="115" t="s">
        <v>40</v>
      </c>
      <c r="D29" s="115" t="s">
        <v>43</v>
      </c>
      <c r="E29" s="115" t="s">
        <v>89</v>
      </c>
      <c r="F29" s="115" t="s">
        <v>25</v>
      </c>
      <c r="G29" s="115" t="s">
        <v>41</v>
      </c>
      <c r="H29" s="115" t="s">
        <v>72</v>
      </c>
      <c r="I29" s="115" t="s">
        <v>25</v>
      </c>
      <c r="J29" s="115">
        <v>669.75</v>
      </c>
      <c r="K29" s="115">
        <v>179.55</v>
      </c>
      <c r="L29" s="115">
        <v>0</v>
      </c>
      <c r="M29" s="115">
        <v>1.4325082403228799</v>
      </c>
      <c r="N29" s="115">
        <v>0</v>
      </c>
      <c r="O29" s="115">
        <v>0</v>
      </c>
      <c r="P29" s="115">
        <v>0</v>
      </c>
      <c r="Q29" s="115">
        <v>82.141060967342099</v>
      </c>
      <c r="R29" s="115">
        <v>12.890889340235701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197.926499038955</v>
      </c>
      <c r="Y29" s="115">
        <v>0</v>
      </c>
      <c r="Z29" s="115">
        <v>0</v>
      </c>
      <c r="AA29" s="115">
        <v>373.57672154109201</v>
      </c>
      <c r="AB29" s="115">
        <v>0</v>
      </c>
      <c r="AC29" s="115">
        <v>0</v>
      </c>
      <c r="AD29" s="115">
        <v>0</v>
      </c>
      <c r="AE29" s="115">
        <v>1.7154274137192</v>
      </c>
      <c r="AF29" s="115">
        <v>6.9324313054817996E-2</v>
      </c>
      <c r="AG29" s="115">
        <v>0</v>
      </c>
      <c r="AH29" s="115">
        <v>0</v>
      </c>
      <c r="AI29" s="115">
        <v>0</v>
      </c>
      <c r="AJ29" s="115">
        <v>-13.015179607823899</v>
      </c>
      <c r="AK29" s="115">
        <v>0</v>
      </c>
      <c r="AL29" s="115">
        <v>30.695039074927301</v>
      </c>
      <c r="AM29" s="115">
        <v>0</v>
      </c>
      <c r="AN29" s="115">
        <v>155.579868355473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6.2873353967909003</v>
      </c>
    </row>
    <row r="30" spans="2:46" ht="12" customHeight="1" x14ac:dyDescent="0.3">
      <c r="B30" s="114" t="s">
        <v>42</v>
      </c>
      <c r="C30" s="115" t="s">
        <v>40</v>
      </c>
      <c r="D30" s="115" t="s">
        <v>43</v>
      </c>
      <c r="E30" s="115" t="s">
        <v>89</v>
      </c>
      <c r="F30" s="115" t="s">
        <v>25</v>
      </c>
      <c r="G30" s="115" t="s">
        <v>38</v>
      </c>
      <c r="H30" s="115" t="s">
        <v>72</v>
      </c>
      <c r="I30" s="115" t="s">
        <v>25</v>
      </c>
      <c r="J30" s="115">
        <v>288.70999999999998</v>
      </c>
      <c r="K30" s="115">
        <v>179.55</v>
      </c>
      <c r="L30" s="115">
        <v>0</v>
      </c>
      <c r="M30" s="115">
        <v>1.4325082403228799</v>
      </c>
      <c r="N30" s="115">
        <v>0</v>
      </c>
      <c r="O30" s="115">
        <v>0</v>
      </c>
      <c r="P30" s="115">
        <v>0</v>
      </c>
      <c r="Q30" s="115">
        <v>82.141060967342099</v>
      </c>
      <c r="R30" s="115">
        <v>12.890889340235701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65.938688374616106</v>
      </c>
      <c r="Y30" s="115">
        <v>0</v>
      </c>
      <c r="Z30" s="115">
        <v>0</v>
      </c>
      <c r="AA30" s="115">
        <v>124.52554601849501</v>
      </c>
      <c r="AB30" s="115">
        <v>0</v>
      </c>
      <c r="AC30" s="115">
        <v>0</v>
      </c>
      <c r="AD30" s="115">
        <v>0</v>
      </c>
      <c r="AE30" s="115">
        <v>1.7154274137192</v>
      </c>
      <c r="AF30" s="115">
        <v>6.9324313054817996E-2</v>
      </c>
      <c r="AG30" s="115">
        <v>0</v>
      </c>
      <c r="AH30" s="115">
        <v>0</v>
      </c>
      <c r="AI30" s="115">
        <v>0</v>
      </c>
      <c r="AJ30" s="115">
        <v>-13.015179607823899</v>
      </c>
      <c r="AK30" s="115">
        <v>0</v>
      </c>
      <c r="AL30" s="115">
        <v>30.695039074927301</v>
      </c>
      <c r="AM30" s="115">
        <v>0</v>
      </c>
      <c r="AN30" s="115">
        <v>155.579868355473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6.2873353967909003</v>
      </c>
    </row>
    <row r="31" spans="2:46" ht="12" customHeight="1" x14ac:dyDescent="0.3">
      <c r="B31" s="114" t="s">
        <v>42</v>
      </c>
      <c r="C31" s="115" t="s">
        <v>40</v>
      </c>
      <c r="D31" s="115" t="s">
        <v>43</v>
      </c>
      <c r="E31" s="115" t="s">
        <v>25</v>
      </c>
      <c r="F31" s="115" t="s">
        <v>25</v>
      </c>
      <c r="G31" s="115" t="s">
        <v>37</v>
      </c>
      <c r="H31" s="115" t="s">
        <v>72</v>
      </c>
      <c r="I31" s="115" t="s">
        <v>25</v>
      </c>
      <c r="J31" s="115">
        <v>1050.79</v>
      </c>
      <c r="K31" s="115">
        <v>179.55</v>
      </c>
      <c r="L31" s="115">
        <v>0</v>
      </c>
      <c r="M31" s="115">
        <v>1.4325082403228799</v>
      </c>
      <c r="N31" s="115">
        <v>0</v>
      </c>
      <c r="O31" s="115">
        <v>0</v>
      </c>
      <c r="P31" s="115">
        <v>0</v>
      </c>
      <c r="Q31" s="115">
        <v>82.141060967342099</v>
      </c>
      <c r="R31" s="115">
        <v>12.890889340235701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329.91430970329299</v>
      </c>
      <c r="Y31" s="115">
        <v>0</v>
      </c>
      <c r="Z31" s="115">
        <v>0</v>
      </c>
      <c r="AA31" s="115">
        <v>622.62806403490504</v>
      </c>
      <c r="AB31" s="115">
        <v>0</v>
      </c>
      <c r="AC31" s="115">
        <v>0</v>
      </c>
      <c r="AD31" s="115">
        <v>0</v>
      </c>
      <c r="AE31" s="115">
        <v>1.7154274137192</v>
      </c>
      <c r="AF31" s="115">
        <v>6.9324313054817996E-2</v>
      </c>
      <c r="AG31" s="115">
        <v>0</v>
      </c>
      <c r="AH31" s="115">
        <v>0</v>
      </c>
      <c r="AI31" s="115">
        <v>0</v>
      </c>
      <c r="AJ31" s="115">
        <v>-13.015179607823899</v>
      </c>
      <c r="AK31" s="115">
        <v>0</v>
      </c>
      <c r="AL31" s="115">
        <v>30.695039074927301</v>
      </c>
      <c r="AM31" s="115">
        <v>0</v>
      </c>
      <c r="AN31" s="115">
        <v>155.579868355473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6.2873353967909003</v>
      </c>
    </row>
    <row r="32" spans="2:46" ht="12" customHeight="1" x14ac:dyDescent="0.3">
      <c r="B32" s="114" t="s">
        <v>42</v>
      </c>
      <c r="C32" s="115" t="s">
        <v>40</v>
      </c>
      <c r="D32" s="115" t="s">
        <v>43</v>
      </c>
      <c r="E32" s="115" t="s">
        <v>25</v>
      </c>
      <c r="F32" s="115" t="s">
        <v>25</v>
      </c>
      <c r="G32" s="115" t="s">
        <v>41</v>
      </c>
      <c r="H32" s="115" t="s">
        <v>72</v>
      </c>
      <c r="I32" s="115" t="s">
        <v>25</v>
      </c>
      <c r="J32" s="115">
        <v>669.75</v>
      </c>
      <c r="K32" s="115">
        <v>179.55</v>
      </c>
      <c r="L32" s="115">
        <v>0</v>
      </c>
      <c r="M32" s="115">
        <v>1.4325082403228799</v>
      </c>
      <c r="N32" s="115">
        <v>0</v>
      </c>
      <c r="O32" s="115">
        <v>0</v>
      </c>
      <c r="P32" s="115">
        <v>0</v>
      </c>
      <c r="Q32" s="115">
        <v>82.141060967342099</v>
      </c>
      <c r="R32" s="115">
        <v>12.890889340235701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197.926499038955</v>
      </c>
      <c r="Y32" s="115">
        <v>0</v>
      </c>
      <c r="Z32" s="115">
        <v>0</v>
      </c>
      <c r="AA32" s="115">
        <v>373.57672154109201</v>
      </c>
      <c r="AB32" s="115">
        <v>0</v>
      </c>
      <c r="AC32" s="115">
        <v>0</v>
      </c>
      <c r="AD32" s="115">
        <v>0</v>
      </c>
      <c r="AE32" s="115">
        <v>1.7154274137192</v>
      </c>
      <c r="AF32" s="115">
        <v>6.9324313054817996E-2</v>
      </c>
      <c r="AG32" s="115">
        <v>0</v>
      </c>
      <c r="AH32" s="115">
        <v>0</v>
      </c>
      <c r="AI32" s="115">
        <v>0</v>
      </c>
      <c r="AJ32" s="115">
        <v>-13.015179607823899</v>
      </c>
      <c r="AK32" s="115">
        <v>0</v>
      </c>
      <c r="AL32" s="115">
        <v>30.695039074927301</v>
      </c>
      <c r="AM32" s="115">
        <v>0</v>
      </c>
      <c r="AN32" s="115">
        <v>155.579868355473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6.2873353967909003</v>
      </c>
    </row>
    <row r="33" spans="2:46" ht="12" customHeight="1" x14ac:dyDescent="0.3">
      <c r="B33" s="114" t="s">
        <v>42</v>
      </c>
      <c r="C33" s="115" t="s">
        <v>40</v>
      </c>
      <c r="D33" s="115" t="s">
        <v>43</v>
      </c>
      <c r="E33" s="115" t="s">
        <v>25</v>
      </c>
      <c r="F33" s="115" t="s">
        <v>25</v>
      </c>
      <c r="G33" s="115" t="s">
        <v>38</v>
      </c>
      <c r="H33" s="115" t="s">
        <v>72</v>
      </c>
      <c r="I33" s="115" t="s">
        <v>25</v>
      </c>
      <c r="J33" s="115">
        <v>288.70999999999998</v>
      </c>
      <c r="K33" s="115">
        <v>179.55</v>
      </c>
      <c r="L33" s="115">
        <v>0</v>
      </c>
      <c r="M33" s="115">
        <v>1.4325082403228799</v>
      </c>
      <c r="N33" s="115">
        <v>0</v>
      </c>
      <c r="O33" s="115">
        <v>0</v>
      </c>
      <c r="P33" s="115">
        <v>0</v>
      </c>
      <c r="Q33" s="115">
        <v>82.141060967342099</v>
      </c>
      <c r="R33" s="115">
        <v>12.890889340235701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65.938688374616106</v>
      </c>
      <c r="Y33" s="115">
        <v>0</v>
      </c>
      <c r="Z33" s="115">
        <v>0</v>
      </c>
      <c r="AA33" s="115">
        <v>124.52554601849501</v>
      </c>
      <c r="AB33" s="115">
        <v>0</v>
      </c>
      <c r="AC33" s="115">
        <v>0</v>
      </c>
      <c r="AD33" s="115">
        <v>0</v>
      </c>
      <c r="AE33" s="115">
        <v>1.7154274137192</v>
      </c>
      <c r="AF33" s="115">
        <v>6.9324313054817996E-2</v>
      </c>
      <c r="AG33" s="115">
        <v>0</v>
      </c>
      <c r="AH33" s="115">
        <v>0</v>
      </c>
      <c r="AI33" s="115">
        <v>0</v>
      </c>
      <c r="AJ33" s="115">
        <v>-13.015179607823899</v>
      </c>
      <c r="AK33" s="115">
        <v>0</v>
      </c>
      <c r="AL33" s="115">
        <v>30.695039074927301</v>
      </c>
      <c r="AM33" s="115">
        <v>0</v>
      </c>
      <c r="AN33" s="115">
        <v>155.579868355473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6.2873353967909003</v>
      </c>
    </row>
    <row r="34" spans="2:46" ht="12" customHeight="1" x14ac:dyDescent="0.3">
      <c r="B34" s="114" t="s">
        <v>42</v>
      </c>
      <c r="C34" s="115" t="s">
        <v>40</v>
      </c>
      <c r="D34" s="115" t="s">
        <v>43</v>
      </c>
      <c r="E34" s="115" t="s">
        <v>90</v>
      </c>
      <c r="F34" s="115" t="s">
        <v>25</v>
      </c>
      <c r="G34" s="115" t="s">
        <v>37</v>
      </c>
      <c r="H34" s="115" t="s">
        <v>72</v>
      </c>
      <c r="I34" s="115" t="s">
        <v>25</v>
      </c>
      <c r="J34" s="115">
        <v>1028.43</v>
      </c>
      <c r="K34" s="115">
        <v>175.73</v>
      </c>
      <c r="L34" s="115">
        <v>0</v>
      </c>
      <c r="M34" s="115">
        <v>1.4020293415926099</v>
      </c>
      <c r="N34" s="115">
        <v>0</v>
      </c>
      <c r="O34" s="115">
        <v>0</v>
      </c>
      <c r="P34" s="115">
        <v>0</v>
      </c>
      <c r="Q34" s="115">
        <v>80.393378819100704</v>
      </c>
      <c r="R34" s="115">
        <v>12.616615098954099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322.89485630535103</v>
      </c>
      <c r="Y34" s="115">
        <v>0</v>
      </c>
      <c r="Z34" s="115">
        <v>0</v>
      </c>
      <c r="AA34" s="115">
        <v>609.38065841714103</v>
      </c>
      <c r="AB34" s="115">
        <v>0</v>
      </c>
      <c r="AC34" s="115">
        <v>0</v>
      </c>
      <c r="AD34" s="115">
        <v>0</v>
      </c>
      <c r="AE34" s="115">
        <v>1.6789289581081499</v>
      </c>
      <c r="AF34" s="115">
        <v>6.7849327670672893E-2</v>
      </c>
      <c r="AG34" s="115">
        <v>0</v>
      </c>
      <c r="AH34" s="115">
        <v>0</v>
      </c>
      <c r="AI34" s="115">
        <v>0</v>
      </c>
      <c r="AJ34" s="115">
        <v>-12.738260892763799</v>
      </c>
      <c r="AK34" s="115">
        <v>0</v>
      </c>
      <c r="AL34" s="115">
        <v>30.041953137162899</v>
      </c>
      <c r="AM34" s="115">
        <v>0</v>
      </c>
      <c r="AN34" s="115">
        <v>152.26965839046301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6.1535623032421602</v>
      </c>
    </row>
    <row r="35" spans="2:46" ht="12" customHeight="1" x14ac:dyDescent="0.3">
      <c r="B35" s="114" t="s">
        <v>42</v>
      </c>
      <c r="C35" s="115" t="s">
        <v>40</v>
      </c>
      <c r="D35" s="115" t="s">
        <v>43</v>
      </c>
      <c r="E35" s="115" t="s">
        <v>90</v>
      </c>
      <c r="F35" s="115" t="s">
        <v>25</v>
      </c>
      <c r="G35" s="115" t="s">
        <v>41</v>
      </c>
      <c r="H35" s="115" t="s">
        <v>72</v>
      </c>
      <c r="I35" s="115" t="s">
        <v>25</v>
      </c>
      <c r="J35" s="115">
        <v>655.5</v>
      </c>
      <c r="K35" s="115">
        <v>175.73</v>
      </c>
      <c r="L35" s="115">
        <v>0</v>
      </c>
      <c r="M35" s="115">
        <v>1.4020293415926099</v>
      </c>
      <c r="N35" s="115">
        <v>0</v>
      </c>
      <c r="O35" s="115">
        <v>0</v>
      </c>
      <c r="P35" s="115">
        <v>0</v>
      </c>
      <c r="Q35" s="115">
        <v>80.393378819100704</v>
      </c>
      <c r="R35" s="115">
        <v>12.616615098954099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193.71529693174301</v>
      </c>
      <c r="Y35" s="115">
        <v>0</v>
      </c>
      <c r="Z35" s="115">
        <v>0</v>
      </c>
      <c r="AA35" s="115">
        <v>365.62828065723897</v>
      </c>
      <c r="AB35" s="115">
        <v>0</v>
      </c>
      <c r="AC35" s="115">
        <v>0</v>
      </c>
      <c r="AD35" s="115">
        <v>0</v>
      </c>
      <c r="AE35" s="115">
        <v>1.6789289581081499</v>
      </c>
      <c r="AF35" s="115">
        <v>6.7849327670672893E-2</v>
      </c>
      <c r="AG35" s="115">
        <v>0</v>
      </c>
      <c r="AH35" s="115">
        <v>0</v>
      </c>
      <c r="AI35" s="115">
        <v>0</v>
      </c>
      <c r="AJ35" s="115">
        <v>-12.738260892763799</v>
      </c>
      <c r="AK35" s="115">
        <v>0</v>
      </c>
      <c r="AL35" s="115">
        <v>30.041953137162899</v>
      </c>
      <c r="AM35" s="115">
        <v>0</v>
      </c>
      <c r="AN35" s="115">
        <v>152.26965839046301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6.1535623032421602</v>
      </c>
    </row>
    <row r="36" spans="2:46" ht="12" customHeight="1" x14ac:dyDescent="0.3">
      <c r="B36" s="114" t="s">
        <v>42</v>
      </c>
      <c r="C36" s="115" t="s">
        <v>40</v>
      </c>
      <c r="D36" s="115" t="s">
        <v>43</v>
      </c>
      <c r="E36" s="115" t="s">
        <v>90</v>
      </c>
      <c r="F36" s="115" t="s">
        <v>25</v>
      </c>
      <c r="G36" s="115" t="s">
        <v>38</v>
      </c>
      <c r="H36" s="115" t="s">
        <v>72</v>
      </c>
      <c r="I36" s="115" t="s">
        <v>25</v>
      </c>
      <c r="J36" s="115">
        <v>282.57</v>
      </c>
      <c r="K36" s="115">
        <v>175.73</v>
      </c>
      <c r="L36" s="115">
        <v>0</v>
      </c>
      <c r="M36" s="115">
        <v>1.4020293415926099</v>
      </c>
      <c r="N36" s="115">
        <v>0</v>
      </c>
      <c r="O36" s="115">
        <v>0</v>
      </c>
      <c r="P36" s="115">
        <v>0</v>
      </c>
      <c r="Q36" s="115">
        <v>80.393378819100704</v>
      </c>
      <c r="R36" s="115">
        <v>12.616615098954099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64.535737558134898</v>
      </c>
      <c r="Y36" s="115">
        <v>0</v>
      </c>
      <c r="Z36" s="115">
        <v>0</v>
      </c>
      <c r="AA36" s="115">
        <v>121.876066315974</v>
      </c>
      <c r="AB36" s="115">
        <v>0</v>
      </c>
      <c r="AC36" s="115">
        <v>0</v>
      </c>
      <c r="AD36" s="115">
        <v>0</v>
      </c>
      <c r="AE36" s="115">
        <v>1.6789289581081499</v>
      </c>
      <c r="AF36" s="115">
        <v>6.7849327670672893E-2</v>
      </c>
      <c r="AG36" s="115">
        <v>0</v>
      </c>
      <c r="AH36" s="115">
        <v>0</v>
      </c>
      <c r="AI36" s="115">
        <v>0</v>
      </c>
      <c r="AJ36" s="115">
        <v>-12.738260892763799</v>
      </c>
      <c r="AK36" s="115">
        <v>0</v>
      </c>
      <c r="AL36" s="115">
        <v>30.041953137162899</v>
      </c>
      <c r="AM36" s="115">
        <v>0</v>
      </c>
      <c r="AN36" s="115">
        <v>152.26965839046301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6.1535623032421602</v>
      </c>
    </row>
    <row r="37" spans="2:46" ht="12" customHeight="1" x14ac:dyDescent="0.3">
      <c r="B37" s="114" t="s">
        <v>42</v>
      </c>
      <c r="C37" s="115" t="s">
        <v>23</v>
      </c>
      <c r="D37" s="115" t="s">
        <v>43</v>
      </c>
      <c r="E37" s="115" t="s">
        <v>89</v>
      </c>
      <c r="F37" s="115" t="s">
        <v>25</v>
      </c>
      <c r="G37" s="115" t="s">
        <v>25</v>
      </c>
      <c r="H37" s="115" t="s">
        <v>72</v>
      </c>
      <c r="I37" s="115" t="s">
        <v>25</v>
      </c>
      <c r="J37" s="115">
        <v>421.14</v>
      </c>
      <c r="K37" s="115">
        <v>179.55</v>
      </c>
      <c r="L37" s="115">
        <v>0</v>
      </c>
      <c r="M37" s="115">
        <v>1.4325082403228799</v>
      </c>
      <c r="N37" s="115">
        <v>0</v>
      </c>
      <c r="O37" s="115">
        <v>0</v>
      </c>
      <c r="P37" s="115">
        <v>0</v>
      </c>
      <c r="Q37" s="115">
        <v>82.141060967342099</v>
      </c>
      <c r="R37" s="115">
        <v>12.890889340235701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111.830741361444</v>
      </c>
      <c r="Y37" s="115">
        <v>0</v>
      </c>
      <c r="Z37" s="115">
        <v>0</v>
      </c>
      <c r="AA37" s="115">
        <v>211.06038191495301</v>
      </c>
      <c r="AB37" s="115">
        <v>0</v>
      </c>
      <c r="AC37" s="115">
        <v>0</v>
      </c>
      <c r="AD37" s="115">
        <v>0</v>
      </c>
      <c r="AE37" s="115">
        <v>1.7154274137192</v>
      </c>
      <c r="AF37" s="115">
        <v>6.9324313054817996E-2</v>
      </c>
      <c r="AG37" s="115">
        <v>0</v>
      </c>
      <c r="AH37" s="115">
        <v>0</v>
      </c>
      <c r="AI37" s="115">
        <v>0</v>
      </c>
      <c r="AJ37" s="115">
        <v>-13.015179607823899</v>
      </c>
      <c r="AK37" s="115">
        <v>0</v>
      </c>
      <c r="AL37" s="115">
        <v>30.695039074927301</v>
      </c>
      <c r="AM37" s="115">
        <v>0</v>
      </c>
      <c r="AN37" s="115">
        <v>155.579868355473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6.2873353967909003</v>
      </c>
    </row>
    <row r="38" spans="2:46" ht="12" customHeight="1" x14ac:dyDescent="0.3">
      <c r="B38" s="114" t="s">
        <v>42</v>
      </c>
      <c r="C38" s="115" t="s">
        <v>23</v>
      </c>
      <c r="D38" s="115" t="s">
        <v>43</v>
      </c>
      <c r="E38" s="115" t="s">
        <v>25</v>
      </c>
      <c r="F38" s="115" t="s">
        <v>25</v>
      </c>
      <c r="G38" s="115" t="s">
        <v>25</v>
      </c>
      <c r="H38" s="115" t="s">
        <v>72</v>
      </c>
      <c r="I38" s="115" t="s">
        <v>25</v>
      </c>
      <c r="J38" s="115">
        <v>421.14</v>
      </c>
      <c r="K38" s="115">
        <v>179.55</v>
      </c>
      <c r="L38" s="115">
        <v>0</v>
      </c>
      <c r="M38" s="115">
        <v>1.4325082403228799</v>
      </c>
      <c r="N38" s="115">
        <v>0</v>
      </c>
      <c r="O38" s="115">
        <v>0</v>
      </c>
      <c r="P38" s="115">
        <v>0</v>
      </c>
      <c r="Q38" s="115">
        <v>82.141060967342099</v>
      </c>
      <c r="R38" s="115">
        <v>12.890889340235701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111.830741361444</v>
      </c>
      <c r="Y38" s="115">
        <v>0</v>
      </c>
      <c r="Z38" s="115">
        <v>0</v>
      </c>
      <c r="AA38" s="115">
        <v>211.06038191495301</v>
      </c>
      <c r="AB38" s="115">
        <v>0</v>
      </c>
      <c r="AC38" s="115">
        <v>0</v>
      </c>
      <c r="AD38" s="115">
        <v>0</v>
      </c>
      <c r="AE38" s="115">
        <v>1.7154274137192</v>
      </c>
      <c r="AF38" s="115">
        <v>6.9324313054817996E-2</v>
      </c>
      <c r="AG38" s="115">
        <v>0</v>
      </c>
      <c r="AH38" s="115">
        <v>0</v>
      </c>
      <c r="AI38" s="115">
        <v>0</v>
      </c>
      <c r="AJ38" s="115">
        <v>-13.015179607823899</v>
      </c>
      <c r="AK38" s="115">
        <v>0</v>
      </c>
      <c r="AL38" s="115">
        <v>30.695039074927301</v>
      </c>
      <c r="AM38" s="115">
        <v>0</v>
      </c>
      <c r="AN38" s="115">
        <v>155.579868355473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6.2873353967909003</v>
      </c>
    </row>
    <row r="39" spans="2:46" ht="12" customHeight="1" x14ac:dyDescent="0.3">
      <c r="B39" s="114" t="s">
        <v>42</v>
      </c>
      <c r="C39" s="115" t="s">
        <v>23</v>
      </c>
      <c r="D39" s="115" t="s">
        <v>43</v>
      </c>
      <c r="E39" s="115" t="s">
        <v>90</v>
      </c>
      <c r="F39" s="115" t="s">
        <v>25</v>
      </c>
      <c r="G39" s="115" t="s">
        <v>25</v>
      </c>
      <c r="H39" s="115" t="s">
        <v>72</v>
      </c>
      <c r="I39" s="115" t="s">
        <v>25</v>
      </c>
      <c r="J39" s="115">
        <v>412.18</v>
      </c>
      <c r="K39" s="115">
        <v>175.73</v>
      </c>
      <c r="L39" s="115">
        <v>0</v>
      </c>
      <c r="M39" s="115">
        <v>1.4020293415926099</v>
      </c>
      <c r="N39" s="115">
        <v>0</v>
      </c>
      <c r="O39" s="115">
        <v>0</v>
      </c>
      <c r="P39" s="115">
        <v>0</v>
      </c>
      <c r="Q39" s="115">
        <v>80.393378819100704</v>
      </c>
      <c r="R39" s="115">
        <v>12.616615098954099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109.451363885669</v>
      </c>
      <c r="Y39" s="115">
        <v>0</v>
      </c>
      <c r="Z39" s="115">
        <v>0</v>
      </c>
      <c r="AA39" s="115">
        <v>206.56973549123001</v>
      </c>
      <c r="AB39" s="115">
        <v>0</v>
      </c>
      <c r="AC39" s="115">
        <v>0</v>
      </c>
      <c r="AD39" s="115">
        <v>0</v>
      </c>
      <c r="AE39" s="115">
        <v>1.6789289581081499</v>
      </c>
      <c r="AF39" s="115">
        <v>6.7849327670672893E-2</v>
      </c>
      <c r="AG39" s="115">
        <v>0</v>
      </c>
      <c r="AH39" s="115">
        <v>0</v>
      </c>
      <c r="AI39" s="115">
        <v>0</v>
      </c>
      <c r="AJ39" s="115">
        <v>-12.738260892763799</v>
      </c>
      <c r="AK39" s="115">
        <v>0</v>
      </c>
      <c r="AL39" s="115">
        <v>30.041953137162899</v>
      </c>
      <c r="AM39" s="115">
        <v>0</v>
      </c>
      <c r="AN39" s="115">
        <v>152.26965839046301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6.1535623032421602</v>
      </c>
    </row>
    <row r="40" spans="2:46" ht="12" customHeight="1" x14ac:dyDescent="0.3">
      <c r="B40" s="114" t="s">
        <v>42</v>
      </c>
      <c r="C40" s="115" t="s">
        <v>88</v>
      </c>
      <c r="D40" s="115" t="s">
        <v>43</v>
      </c>
      <c r="E40" s="115" t="s">
        <v>89</v>
      </c>
      <c r="F40" s="115" t="s">
        <v>25</v>
      </c>
      <c r="G40" s="115" t="s">
        <v>25</v>
      </c>
      <c r="H40" s="115" t="s">
        <v>72</v>
      </c>
      <c r="I40" s="115" t="s">
        <v>25</v>
      </c>
      <c r="J40" s="115">
        <v>421.14</v>
      </c>
      <c r="K40" s="115">
        <v>179.55</v>
      </c>
      <c r="L40" s="115">
        <v>0</v>
      </c>
      <c r="M40" s="115">
        <v>1.4325082403228799</v>
      </c>
      <c r="N40" s="115">
        <v>0</v>
      </c>
      <c r="O40" s="115">
        <v>0</v>
      </c>
      <c r="P40" s="115">
        <v>0</v>
      </c>
      <c r="Q40" s="115">
        <v>82.141060967342099</v>
      </c>
      <c r="R40" s="115">
        <v>12.890889340235701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111.830741361444</v>
      </c>
      <c r="Y40" s="115">
        <v>0</v>
      </c>
      <c r="Z40" s="115">
        <v>0</v>
      </c>
      <c r="AA40" s="115">
        <v>211.06038191495301</v>
      </c>
      <c r="AB40" s="115">
        <v>0</v>
      </c>
      <c r="AC40" s="115">
        <v>0</v>
      </c>
      <c r="AD40" s="115">
        <v>0</v>
      </c>
      <c r="AE40" s="115">
        <v>1.7154274137192</v>
      </c>
      <c r="AF40" s="115">
        <v>6.9324313054817996E-2</v>
      </c>
      <c r="AG40" s="115">
        <v>0</v>
      </c>
      <c r="AH40" s="115">
        <v>0</v>
      </c>
      <c r="AI40" s="115">
        <v>0</v>
      </c>
      <c r="AJ40" s="115">
        <v>-13.015179607823899</v>
      </c>
      <c r="AK40" s="115">
        <v>0</v>
      </c>
      <c r="AL40" s="115">
        <v>30.695039074927301</v>
      </c>
      <c r="AM40" s="115">
        <v>0</v>
      </c>
      <c r="AN40" s="115">
        <v>155.579868355473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6.2873353967909003</v>
      </c>
    </row>
    <row r="41" spans="2:46" ht="12" customHeight="1" x14ac:dyDescent="0.3">
      <c r="B41" s="114" t="s">
        <v>42</v>
      </c>
      <c r="C41" s="115" t="s">
        <v>88</v>
      </c>
      <c r="D41" s="115" t="s">
        <v>43</v>
      </c>
      <c r="E41" s="115" t="s">
        <v>25</v>
      </c>
      <c r="F41" s="115" t="s">
        <v>25</v>
      </c>
      <c r="G41" s="115" t="s">
        <v>25</v>
      </c>
      <c r="H41" s="115" t="s">
        <v>72</v>
      </c>
      <c r="I41" s="115" t="s">
        <v>25</v>
      </c>
      <c r="J41" s="115">
        <v>421.14</v>
      </c>
      <c r="K41" s="115">
        <v>179.55</v>
      </c>
      <c r="L41" s="115">
        <v>0</v>
      </c>
      <c r="M41" s="115">
        <v>1.4325082403228799</v>
      </c>
      <c r="N41" s="115">
        <v>0</v>
      </c>
      <c r="O41" s="115">
        <v>0</v>
      </c>
      <c r="P41" s="115">
        <v>0</v>
      </c>
      <c r="Q41" s="115">
        <v>82.141060967342099</v>
      </c>
      <c r="R41" s="115">
        <v>12.890889340235701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111.830741361444</v>
      </c>
      <c r="Y41" s="115">
        <v>0</v>
      </c>
      <c r="Z41" s="115">
        <v>0</v>
      </c>
      <c r="AA41" s="115">
        <v>211.06038191495301</v>
      </c>
      <c r="AB41" s="115">
        <v>0</v>
      </c>
      <c r="AC41" s="115">
        <v>0</v>
      </c>
      <c r="AD41" s="115">
        <v>0</v>
      </c>
      <c r="AE41" s="115">
        <v>1.7154274137192</v>
      </c>
      <c r="AF41" s="115">
        <v>6.9324313054817996E-2</v>
      </c>
      <c r="AG41" s="115">
        <v>0</v>
      </c>
      <c r="AH41" s="115">
        <v>0</v>
      </c>
      <c r="AI41" s="115">
        <v>0</v>
      </c>
      <c r="AJ41" s="115">
        <v>-13.015179607823899</v>
      </c>
      <c r="AK41" s="115">
        <v>0</v>
      </c>
      <c r="AL41" s="115">
        <v>30.695039074927301</v>
      </c>
      <c r="AM41" s="115">
        <v>0</v>
      </c>
      <c r="AN41" s="115">
        <v>155.579868355473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6.2873353967909003</v>
      </c>
    </row>
    <row r="42" spans="2:46" ht="12" customHeight="1" x14ac:dyDescent="0.3">
      <c r="B42" s="114" t="s">
        <v>42</v>
      </c>
      <c r="C42" s="115" t="s">
        <v>88</v>
      </c>
      <c r="D42" s="115" t="s">
        <v>43</v>
      </c>
      <c r="E42" s="115" t="s">
        <v>90</v>
      </c>
      <c r="F42" s="115" t="s">
        <v>25</v>
      </c>
      <c r="G42" s="115" t="s">
        <v>25</v>
      </c>
      <c r="H42" s="115" t="s">
        <v>72</v>
      </c>
      <c r="I42" s="115" t="s">
        <v>25</v>
      </c>
      <c r="J42" s="115">
        <v>412.18</v>
      </c>
      <c r="K42" s="115">
        <v>175.73</v>
      </c>
      <c r="L42" s="115">
        <v>0</v>
      </c>
      <c r="M42" s="115">
        <v>1.4020293415926099</v>
      </c>
      <c r="N42" s="115">
        <v>0</v>
      </c>
      <c r="O42" s="115">
        <v>0</v>
      </c>
      <c r="P42" s="115">
        <v>0</v>
      </c>
      <c r="Q42" s="115">
        <v>80.393378819100704</v>
      </c>
      <c r="R42" s="115">
        <v>12.616615098954099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109.451363885669</v>
      </c>
      <c r="Y42" s="115">
        <v>0</v>
      </c>
      <c r="Z42" s="115">
        <v>0</v>
      </c>
      <c r="AA42" s="115">
        <v>206.56973549123001</v>
      </c>
      <c r="AB42" s="115">
        <v>0</v>
      </c>
      <c r="AC42" s="115">
        <v>0</v>
      </c>
      <c r="AD42" s="115">
        <v>0</v>
      </c>
      <c r="AE42" s="115">
        <v>1.6789289581081499</v>
      </c>
      <c r="AF42" s="115">
        <v>6.7849327670672893E-2</v>
      </c>
      <c r="AG42" s="115">
        <v>0</v>
      </c>
      <c r="AH42" s="115">
        <v>0</v>
      </c>
      <c r="AI42" s="115">
        <v>0</v>
      </c>
      <c r="AJ42" s="115">
        <v>-12.738260892763799</v>
      </c>
      <c r="AK42" s="115">
        <v>0</v>
      </c>
      <c r="AL42" s="115">
        <v>30.041953137162899</v>
      </c>
      <c r="AM42" s="115">
        <v>0</v>
      </c>
      <c r="AN42" s="115">
        <v>152.26965839046301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6.1535623032421602</v>
      </c>
    </row>
    <row r="43" spans="2:46" ht="12" customHeight="1" x14ac:dyDescent="0.3">
      <c r="B43" s="114" t="s">
        <v>33</v>
      </c>
      <c r="C43" s="115" t="s">
        <v>40</v>
      </c>
      <c r="D43" s="115" t="s">
        <v>25</v>
      </c>
      <c r="E43" s="115" t="s">
        <v>25</v>
      </c>
      <c r="F43" s="115" t="s">
        <v>25</v>
      </c>
      <c r="G43" s="115" t="s">
        <v>37</v>
      </c>
      <c r="H43" s="115" t="s">
        <v>72</v>
      </c>
      <c r="I43" s="115" t="s">
        <v>25</v>
      </c>
      <c r="J43" s="115">
        <v>1289.7</v>
      </c>
      <c r="K43" s="115">
        <v>191.01</v>
      </c>
      <c r="L43" s="115">
        <v>0</v>
      </c>
      <c r="M43" s="115">
        <v>1.5239449365137101</v>
      </c>
      <c r="N43" s="115">
        <v>0</v>
      </c>
      <c r="O43" s="115">
        <v>0</v>
      </c>
      <c r="P43" s="115">
        <v>0</v>
      </c>
      <c r="Q43" s="115">
        <v>87.384107412066001</v>
      </c>
      <c r="R43" s="115">
        <v>13.7137120640805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410.54515235753701</v>
      </c>
      <c r="Y43" s="115">
        <v>0</v>
      </c>
      <c r="Z43" s="115">
        <v>0</v>
      </c>
      <c r="AA43" s="115">
        <v>774.63621944506599</v>
      </c>
      <c r="AB43" s="115">
        <v>0</v>
      </c>
      <c r="AC43" s="115">
        <v>0</v>
      </c>
      <c r="AD43" s="115">
        <v>0</v>
      </c>
      <c r="AE43" s="115">
        <v>1.82492278055234</v>
      </c>
      <c r="AF43" s="115">
        <v>7.3749269207253207E-2</v>
      </c>
      <c r="AG43" s="115">
        <v>0</v>
      </c>
      <c r="AH43" s="115">
        <v>0</v>
      </c>
      <c r="AI43" s="115">
        <v>0</v>
      </c>
      <c r="AJ43" s="115">
        <v>-13.8459357530042</v>
      </c>
      <c r="AK43" s="115">
        <v>0</v>
      </c>
      <c r="AL43" s="115">
        <v>32.6542968882205</v>
      </c>
      <c r="AM43" s="115">
        <v>0</v>
      </c>
      <c r="AN43" s="115">
        <v>165.51049825050299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6.68865467743713</v>
      </c>
    </row>
    <row r="44" spans="2:46" ht="12" customHeight="1" x14ac:dyDescent="0.3">
      <c r="B44" s="114" t="s">
        <v>33</v>
      </c>
      <c r="C44" s="115" t="s">
        <v>40</v>
      </c>
      <c r="D44" s="115" t="s">
        <v>25</v>
      </c>
      <c r="E44" s="115" t="s">
        <v>25</v>
      </c>
      <c r="F44" s="115" t="s">
        <v>25</v>
      </c>
      <c r="G44" s="115" t="s">
        <v>41</v>
      </c>
      <c r="H44" s="115" t="s">
        <v>72</v>
      </c>
      <c r="I44" s="115" t="s">
        <v>25</v>
      </c>
      <c r="J44" s="115">
        <v>815.58</v>
      </c>
      <c r="K44" s="115">
        <v>191.01</v>
      </c>
      <c r="L44" s="115">
        <v>0</v>
      </c>
      <c r="M44" s="115">
        <v>1.5239449365137101</v>
      </c>
      <c r="N44" s="115">
        <v>0</v>
      </c>
      <c r="O44" s="115">
        <v>0</v>
      </c>
      <c r="P44" s="115">
        <v>0</v>
      </c>
      <c r="Q44" s="115">
        <v>87.384107412066001</v>
      </c>
      <c r="R44" s="115">
        <v>13.7137120640805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246.280098259158</v>
      </c>
      <c r="Y44" s="115">
        <v>0</v>
      </c>
      <c r="Z44" s="115">
        <v>0</v>
      </c>
      <c r="AA44" s="115">
        <v>464.78169614124897</v>
      </c>
      <c r="AB44" s="115">
        <v>0</v>
      </c>
      <c r="AC44" s="115">
        <v>0</v>
      </c>
      <c r="AD44" s="115">
        <v>0</v>
      </c>
      <c r="AE44" s="115">
        <v>1.82492278055234</v>
      </c>
      <c r="AF44" s="115">
        <v>7.3749269207253207E-2</v>
      </c>
      <c r="AG44" s="115">
        <v>0</v>
      </c>
      <c r="AH44" s="115">
        <v>0</v>
      </c>
      <c r="AI44" s="115">
        <v>0</v>
      </c>
      <c r="AJ44" s="115">
        <v>-13.8459357530042</v>
      </c>
      <c r="AK44" s="115">
        <v>0</v>
      </c>
      <c r="AL44" s="115">
        <v>32.6542968882205</v>
      </c>
      <c r="AM44" s="115">
        <v>0</v>
      </c>
      <c r="AN44" s="115">
        <v>165.51049825050299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6.68865467743713</v>
      </c>
    </row>
    <row r="45" spans="2:46" ht="12" customHeight="1" x14ac:dyDescent="0.3">
      <c r="B45" s="114" t="s">
        <v>33</v>
      </c>
      <c r="C45" s="115" t="s">
        <v>40</v>
      </c>
      <c r="D45" s="115" t="s">
        <v>25</v>
      </c>
      <c r="E45" s="115" t="s">
        <v>25</v>
      </c>
      <c r="F45" s="115" t="s">
        <v>25</v>
      </c>
      <c r="G45" s="115" t="s">
        <v>38</v>
      </c>
      <c r="H45" s="115" t="s">
        <v>72</v>
      </c>
      <c r="I45" s="115" t="s">
        <v>25</v>
      </c>
      <c r="J45" s="115">
        <v>341.52</v>
      </c>
      <c r="K45" s="115">
        <v>191.01</v>
      </c>
      <c r="L45" s="115">
        <v>0</v>
      </c>
      <c r="M45" s="115">
        <v>1.5239449365137101</v>
      </c>
      <c r="N45" s="115">
        <v>0</v>
      </c>
      <c r="O45" s="115">
        <v>0</v>
      </c>
      <c r="P45" s="115">
        <v>0</v>
      </c>
      <c r="Q45" s="115">
        <v>87.384107412066001</v>
      </c>
      <c r="R45" s="115">
        <v>13.7137120640805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82.073785604984096</v>
      </c>
      <c r="Y45" s="115">
        <v>0</v>
      </c>
      <c r="Z45" s="115">
        <v>0</v>
      </c>
      <c r="AA45" s="115">
        <v>154.92743928086099</v>
      </c>
      <c r="AB45" s="115">
        <v>0</v>
      </c>
      <c r="AC45" s="115">
        <v>0</v>
      </c>
      <c r="AD45" s="115">
        <v>0</v>
      </c>
      <c r="AE45" s="115">
        <v>1.82492278055234</v>
      </c>
      <c r="AF45" s="115">
        <v>7.3749269207253207E-2</v>
      </c>
      <c r="AG45" s="115">
        <v>0</v>
      </c>
      <c r="AH45" s="115">
        <v>0</v>
      </c>
      <c r="AI45" s="115">
        <v>0</v>
      </c>
      <c r="AJ45" s="115">
        <v>-13.8459357530042</v>
      </c>
      <c r="AK45" s="115">
        <v>0</v>
      </c>
      <c r="AL45" s="115">
        <v>32.6542968882205</v>
      </c>
      <c r="AM45" s="115">
        <v>0</v>
      </c>
      <c r="AN45" s="115">
        <v>165.51049825050299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6.68865467743713</v>
      </c>
    </row>
    <row r="46" spans="2:46" ht="12" customHeight="1" x14ac:dyDescent="0.3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72</v>
      </c>
      <c r="I46" s="115" t="s">
        <v>25</v>
      </c>
      <c r="J46" s="115">
        <v>448.02</v>
      </c>
      <c r="K46" s="115">
        <v>191.01</v>
      </c>
      <c r="L46" s="115">
        <v>0</v>
      </c>
      <c r="M46" s="115">
        <v>1.5239449365137101</v>
      </c>
      <c r="N46" s="115">
        <v>0</v>
      </c>
      <c r="O46" s="115">
        <v>0</v>
      </c>
      <c r="P46" s="115">
        <v>0</v>
      </c>
      <c r="Q46" s="115">
        <v>87.384107412066001</v>
      </c>
      <c r="R46" s="115">
        <v>13.7137120640805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118.96887378877</v>
      </c>
      <c r="Y46" s="115">
        <v>0</v>
      </c>
      <c r="Z46" s="115">
        <v>0</v>
      </c>
      <c r="AA46" s="115">
        <v>224.53232118611999</v>
      </c>
      <c r="AB46" s="115">
        <v>0</v>
      </c>
      <c r="AC46" s="115">
        <v>0</v>
      </c>
      <c r="AD46" s="115">
        <v>0</v>
      </c>
      <c r="AE46" s="115">
        <v>1.82492278055234</v>
      </c>
      <c r="AF46" s="115">
        <v>7.3749269207253207E-2</v>
      </c>
      <c r="AG46" s="115">
        <v>0</v>
      </c>
      <c r="AH46" s="115">
        <v>0</v>
      </c>
      <c r="AI46" s="115">
        <v>0</v>
      </c>
      <c r="AJ46" s="115">
        <v>-13.8459357530042</v>
      </c>
      <c r="AK46" s="115">
        <v>0</v>
      </c>
      <c r="AL46" s="115">
        <v>32.6542968882205</v>
      </c>
      <c r="AM46" s="115">
        <v>0</v>
      </c>
      <c r="AN46" s="115">
        <v>165.51049825050299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6.68865467743713</v>
      </c>
    </row>
    <row r="47" spans="2:46" ht="12" customHeight="1" x14ac:dyDescent="0.3">
      <c r="B47" s="114" t="s">
        <v>33</v>
      </c>
      <c r="C47" s="115" t="s">
        <v>88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72</v>
      </c>
      <c r="I47" s="115" t="s">
        <v>25</v>
      </c>
      <c r="J47" s="115">
        <v>448.02</v>
      </c>
      <c r="K47" s="115">
        <v>191.01</v>
      </c>
      <c r="L47" s="115">
        <v>0</v>
      </c>
      <c r="M47" s="115">
        <v>1.5239449365137101</v>
      </c>
      <c r="N47" s="115">
        <v>0</v>
      </c>
      <c r="O47" s="115">
        <v>0</v>
      </c>
      <c r="P47" s="115">
        <v>0</v>
      </c>
      <c r="Q47" s="115">
        <v>87.384107412066001</v>
      </c>
      <c r="R47" s="115">
        <v>13.7137120640805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118.96887378877</v>
      </c>
      <c r="Y47" s="115">
        <v>0</v>
      </c>
      <c r="Z47" s="115">
        <v>0</v>
      </c>
      <c r="AA47" s="115">
        <v>224.53232118611999</v>
      </c>
      <c r="AB47" s="115">
        <v>0</v>
      </c>
      <c r="AC47" s="115">
        <v>0</v>
      </c>
      <c r="AD47" s="115">
        <v>0</v>
      </c>
      <c r="AE47" s="115">
        <v>1.82492278055234</v>
      </c>
      <c r="AF47" s="115">
        <v>7.3749269207253207E-2</v>
      </c>
      <c r="AG47" s="115">
        <v>0</v>
      </c>
      <c r="AH47" s="115">
        <v>0</v>
      </c>
      <c r="AI47" s="115">
        <v>0</v>
      </c>
      <c r="AJ47" s="115">
        <v>-13.8459357530042</v>
      </c>
      <c r="AK47" s="115">
        <v>0</v>
      </c>
      <c r="AL47" s="115">
        <v>32.6542968882205</v>
      </c>
      <c r="AM47" s="115">
        <v>0</v>
      </c>
      <c r="AN47" s="115">
        <v>165.51049825050299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6.68865467743713</v>
      </c>
    </row>
    <row r="48" spans="2:46" ht="12" customHeight="1" x14ac:dyDescent="0.3">
      <c r="B48" s="114" t="s">
        <v>45</v>
      </c>
      <c r="C48" s="115" t="s">
        <v>23</v>
      </c>
      <c r="D48" s="115" t="s">
        <v>46</v>
      </c>
      <c r="E48" s="115" t="s">
        <v>47</v>
      </c>
      <c r="F48" s="115" t="s">
        <v>25</v>
      </c>
      <c r="G48" s="115" t="s">
        <v>25</v>
      </c>
      <c r="H48" s="115" t="s">
        <v>72</v>
      </c>
      <c r="I48" s="115" t="s">
        <v>25</v>
      </c>
      <c r="J48" s="115">
        <v>246.41</v>
      </c>
      <c r="K48" s="115">
        <v>105.05</v>
      </c>
      <c r="L48" s="115">
        <v>0</v>
      </c>
      <c r="M48" s="115">
        <v>0.83816971508253801</v>
      </c>
      <c r="N48" s="115">
        <v>0</v>
      </c>
      <c r="O48" s="115">
        <v>0</v>
      </c>
      <c r="P48" s="115">
        <v>0</v>
      </c>
      <c r="Q48" s="115">
        <v>48.061259076636297</v>
      </c>
      <c r="R48" s="115">
        <v>7.54254163524429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65.432880583823604</v>
      </c>
      <c r="Y48" s="115">
        <v>0</v>
      </c>
      <c r="Z48" s="115">
        <v>0</v>
      </c>
      <c r="AA48" s="115">
        <v>123.492776652366</v>
      </c>
      <c r="AB48" s="115">
        <v>0</v>
      </c>
      <c r="AC48" s="115">
        <v>0</v>
      </c>
      <c r="AD48" s="115">
        <v>0</v>
      </c>
      <c r="AE48" s="115">
        <v>1.00370752930379</v>
      </c>
      <c r="AF48" s="115">
        <v>4.0562098063989201E-2</v>
      </c>
      <c r="AG48" s="115">
        <v>0</v>
      </c>
      <c r="AH48" s="115">
        <v>0</v>
      </c>
      <c r="AI48" s="115">
        <v>0</v>
      </c>
      <c r="AJ48" s="115">
        <v>-7.6152646641522797</v>
      </c>
      <c r="AK48" s="115">
        <v>0</v>
      </c>
      <c r="AL48" s="115">
        <v>17.959863288521301</v>
      </c>
      <c r="AM48" s="115">
        <v>0</v>
      </c>
      <c r="AN48" s="115">
        <v>91.030774037776695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3.6787600725904199</v>
      </c>
    </row>
    <row r="49" spans="2:46" ht="12" customHeight="1" x14ac:dyDescent="0.3">
      <c r="B49" s="117" t="s">
        <v>45</v>
      </c>
      <c r="C49" s="118" t="s">
        <v>23</v>
      </c>
      <c r="D49" s="118" t="s">
        <v>46</v>
      </c>
      <c r="E49" s="118" t="s">
        <v>91</v>
      </c>
      <c r="F49" s="118" t="s">
        <v>25</v>
      </c>
      <c r="G49" s="118" t="s">
        <v>25</v>
      </c>
      <c r="H49" s="118" t="s">
        <v>72</v>
      </c>
      <c r="I49" s="118" t="s">
        <v>25</v>
      </c>
      <c r="J49" s="118">
        <v>268.81</v>
      </c>
      <c r="K49" s="118">
        <v>114.6</v>
      </c>
      <c r="L49" s="118">
        <v>0</v>
      </c>
      <c r="M49" s="118">
        <v>0.91436696190822297</v>
      </c>
      <c r="N49" s="118">
        <v>0</v>
      </c>
      <c r="O49" s="118">
        <v>0</v>
      </c>
      <c r="P49" s="118">
        <v>0</v>
      </c>
      <c r="Q49" s="118">
        <v>52.430464447239601</v>
      </c>
      <c r="R49" s="118">
        <v>8.2282272384483193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71.381324273262095</v>
      </c>
      <c r="Y49" s="118">
        <v>0</v>
      </c>
      <c r="Z49" s="118">
        <v>0</v>
      </c>
      <c r="AA49" s="118">
        <v>134.71939271167199</v>
      </c>
      <c r="AB49" s="118">
        <v>0</v>
      </c>
      <c r="AC49" s="118">
        <v>0</v>
      </c>
      <c r="AD49" s="118">
        <v>0</v>
      </c>
      <c r="AE49" s="118">
        <v>1.0949536683314001</v>
      </c>
      <c r="AF49" s="118">
        <v>4.4249561524351902E-2</v>
      </c>
      <c r="AG49" s="118">
        <v>0</v>
      </c>
      <c r="AH49" s="118">
        <v>0</v>
      </c>
      <c r="AI49" s="118">
        <v>0</v>
      </c>
      <c r="AJ49" s="118">
        <v>-8.3075614518024903</v>
      </c>
      <c r="AK49" s="118">
        <v>0</v>
      </c>
      <c r="AL49" s="118">
        <v>19.592578132932299</v>
      </c>
      <c r="AM49" s="118">
        <v>0</v>
      </c>
      <c r="AN49" s="118">
        <v>99.306298950301795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4.0131928064622802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2E13-8922-44F6-B4C6-E22062E00A1E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20" t="s">
        <v>1099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3">
      <c r="L2" s="121" t="s">
        <v>424</v>
      </c>
      <c r="M2" s="121"/>
      <c r="N2" s="121"/>
      <c r="O2" s="121"/>
      <c r="P2" s="121"/>
      <c r="Q2" s="121"/>
      <c r="R2" s="121"/>
      <c r="S2" s="122"/>
      <c r="T2" s="121" t="s">
        <v>433</v>
      </c>
      <c r="U2" s="121"/>
      <c r="V2" s="121"/>
      <c r="W2" s="121"/>
      <c r="X2" s="121"/>
      <c r="Y2" s="121"/>
      <c r="Z2" s="122"/>
      <c r="AA2" s="123" t="s">
        <v>441</v>
      </c>
      <c r="AB2" s="121" t="s">
        <v>25</v>
      </c>
      <c r="AC2" s="121"/>
      <c r="AD2" s="122"/>
      <c r="AE2" s="121" t="s">
        <v>1098</v>
      </c>
      <c r="AF2" s="121"/>
      <c r="AG2" s="121"/>
      <c r="AH2" s="122"/>
      <c r="AI2" s="121" t="s">
        <v>424</v>
      </c>
      <c r="AJ2" s="121"/>
      <c r="AK2" s="121"/>
      <c r="AL2" s="121"/>
      <c r="AM2" s="122"/>
      <c r="AN2" s="123" t="s">
        <v>455</v>
      </c>
      <c r="AO2" s="121" t="s">
        <v>433</v>
      </c>
      <c r="AP2" s="121"/>
      <c r="AQ2" s="121"/>
      <c r="AR2" s="121"/>
      <c r="AS2" s="122"/>
      <c r="AT2" s="124" t="s">
        <v>1098</v>
      </c>
    </row>
    <row r="3" spans="2:46" ht="12" customHeight="1" x14ac:dyDescent="0.3">
      <c r="B3" s="111" t="s">
        <v>62</v>
      </c>
      <c r="C3" s="112" t="s">
        <v>63</v>
      </c>
      <c r="D3" s="112" t="s">
        <v>64</v>
      </c>
      <c r="E3" s="112" t="s">
        <v>65</v>
      </c>
      <c r="F3" s="112" t="s">
        <v>66</v>
      </c>
      <c r="G3" s="112" t="s">
        <v>68</v>
      </c>
      <c r="H3" s="112" t="s">
        <v>69</v>
      </c>
      <c r="I3" s="112" t="s">
        <v>701</v>
      </c>
      <c r="J3" s="112" t="s">
        <v>1060</v>
      </c>
      <c r="K3" s="112" t="s">
        <v>1061</v>
      </c>
      <c r="L3" s="112" t="s">
        <v>1062</v>
      </c>
      <c r="M3" s="112" t="s">
        <v>1063</v>
      </c>
      <c r="N3" s="112" t="s">
        <v>1064</v>
      </c>
      <c r="O3" s="112" t="s">
        <v>1065</v>
      </c>
      <c r="P3" s="112" t="s">
        <v>1066</v>
      </c>
      <c r="Q3" s="112" t="s">
        <v>1067</v>
      </c>
      <c r="R3" s="112" t="s">
        <v>1068</v>
      </c>
      <c r="S3" s="112" t="s">
        <v>1069</v>
      </c>
      <c r="T3" s="112" t="s">
        <v>1070</v>
      </c>
      <c r="U3" s="112" t="s">
        <v>1071</v>
      </c>
      <c r="V3" s="112" t="s">
        <v>1072</v>
      </c>
      <c r="W3" s="112" t="s">
        <v>1073</v>
      </c>
      <c r="X3" s="112" t="s">
        <v>1074</v>
      </c>
      <c r="Y3" s="112" t="s">
        <v>1075</v>
      </c>
      <c r="Z3" s="112" t="s">
        <v>1076</v>
      </c>
      <c r="AA3" s="112" t="s">
        <v>1077</v>
      </c>
      <c r="AB3" s="112" t="s">
        <v>1078</v>
      </c>
      <c r="AC3" s="112" t="s">
        <v>1079</v>
      </c>
      <c r="AD3" s="112" t="s">
        <v>1080</v>
      </c>
      <c r="AE3" s="112" t="s">
        <v>1081</v>
      </c>
      <c r="AF3" s="112" t="s">
        <v>1082</v>
      </c>
      <c r="AG3" s="112" t="s">
        <v>1083</v>
      </c>
      <c r="AH3" s="112" t="s">
        <v>1084</v>
      </c>
      <c r="AI3" s="112" t="s">
        <v>1085</v>
      </c>
      <c r="AJ3" s="112" t="s">
        <v>1086</v>
      </c>
      <c r="AK3" s="112" t="s">
        <v>1087</v>
      </c>
      <c r="AL3" s="112" t="s">
        <v>1088</v>
      </c>
      <c r="AM3" s="112" t="s">
        <v>1089</v>
      </c>
      <c r="AN3" s="112" t="s">
        <v>1090</v>
      </c>
      <c r="AO3" s="112" t="s">
        <v>1091</v>
      </c>
      <c r="AP3" s="112" t="s">
        <v>1092</v>
      </c>
      <c r="AQ3" s="112" t="s">
        <v>1093</v>
      </c>
      <c r="AR3" s="112" t="s">
        <v>1094</v>
      </c>
      <c r="AS3" s="112" t="s">
        <v>1095</v>
      </c>
      <c r="AT3" s="113" t="s">
        <v>1096</v>
      </c>
    </row>
    <row r="4" spans="2:46" ht="12" customHeight="1" x14ac:dyDescent="0.3">
      <c r="B4" s="114" t="s">
        <v>35</v>
      </c>
      <c r="C4" s="115" t="s">
        <v>75</v>
      </c>
      <c r="D4" s="115" t="s">
        <v>25</v>
      </c>
      <c r="E4" s="115" t="s">
        <v>25</v>
      </c>
      <c r="F4" s="115" t="s">
        <v>80</v>
      </c>
      <c r="G4" s="115" t="s">
        <v>37</v>
      </c>
      <c r="H4" s="115" t="s">
        <v>72</v>
      </c>
      <c r="I4" s="115" t="s">
        <v>25</v>
      </c>
      <c r="J4" s="115">
        <v>1.58</v>
      </c>
      <c r="K4" s="115">
        <v>0</v>
      </c>
      <c r="L4" s="115">
        <v>0</v>
      </c>
      <c r="M4" s="115">
        <v>0.86169513267244702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0.69469971303976297</v>
      </c>
      <c r="AF4" s="115">
        <v>2.8074391257072499E-2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3">
      <c r="B5" s="114" t="s">
        <v>35</v>
      </c>
      <c r="C5" s="115" t="s">
        <v>75</v>
      </c>
      <c r="D5" s="115" t="s">
        <v>25</v>
      </c>
      <c r="E5" s="115" t="s">
        <v>25</v>
      </c>
      <c r="F5" s="115" t="s">
        <v>80</v>
      </c>
      <c r="G5" s="115" t="s">
        <v>37</v>
      </c>
      <c r="H5" s="115" t="s">
        <v>76</v>
      </c>
      <c r="I5" s="115" t="s">
        <v>25</v>
      </c>
      <c r="J5" s="115">
        <v>118.97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35.6217814120361</v>
      </c>
      <c r="Y5" s="115">
        <v>0</v>
      </c>
      <c r="Z5" s="115">
        <v>0</v>
      </c>
      <c r="AA5" s="115">
        <v>83.348578628551707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3">
      <c r="B6" s="114" t="s">
        <v>35</v>
      </c>
      <c r="C6" s="115" t="s">
        <v>75</v>
      </c>
      <c r="D6" s="115" t="s">
        <v>25</v>
      </c>
      <c r="E6" s="115" t="s">
        <v>25</v>
      </c>
      <c r="F6" s="115" t="s">
        <v>80</v>
      </c>
      <c r="G6" s="115" t="s">
        <v>38</v>
      </c>
      <c r="H6" s="115" t="s">
        <v>72</v>
      </c>
      <c r="I6" s="115" t="s">
        <v>25</v>
      </c>
      <c r="J6" s="115">
        <v>1.58</v>
      </c>
      <c r="K6" s="115">
        <v>0</v>
      </c>
      <c r="L6" s="115">
        <v>0</v>
      </c>
      <c r="M6" s="115">
        <v>0.86169513267244702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0.69469971303976297</v>
      </c>
      <c r="AF6" s="115">
        <v>2.8074391257072499E-2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3">
      <c r="B7" s="114" t="s">
        <v>35</v>
      </c>
      <c r="C7" s="115" t="s">
        <v>75</v>
      </c>
      <c r="D7" s="115" t="s">
        <v>25</v>
      </c>
      <c r="E7" s="115" t="s">
        <v>25</v>
      </c>
      <c r="F7" s="115" t="s">
        <v>80</v>
      </c>
      <c r="G7" s="115" t="s">
        <v>38</v>
      </c>
      <c r="H7" s="115" t="s">
        <v>76</v>
      </c>
      <c r="I7" s="115" t="s">
        <v>25</v>
      </c>
      <c r="J7" s="115">
        <v>37.69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14.397831898322</v>
      </c>
      <c r="Y7" s="115">
        <v>0</v>
      </c>
      <c r="Z7" s="115">
        <v>0</v>
      </c>
      <c r="AA7" s="115">
        <v>23.290385415432699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3">
      <c r="B8" s="114" t="s">
        <v>35</v>
      </c>
      <c r="C8" s="115" t="s">
        <v>75</v>
      </c>
      <c r="D8" s="115" t="s">
        <v>25</v>
      </c>
      <c r="E8" s="115" t="s">
        <v>25</v>
      </c>
      <c r="F8" s="115" t="s">
        <v>25</v>
      </c>
      <c r="G8" s="115" t="s">
        <v>37</v>
      </c>
      <c r="H8" s="115" t="s">
        <v>72</v>
      </c>
      <c r="I8" s="115" t="s">
        <v>25</v>
      </c>
      <c r="J8" s="115">
        <v>92.09</v>
      </c>
      <c r="K8" s="115">
        <v>185.13</v>
      </c>
      <c r="L8" s="115">
        <v>0</v>
      </c>
      <c r="M8" s="115">
        <v>0.86169513267244702</v>
      </c>
      <c r="N8" s="115">
        <v>0</v>
      </c>
      <c r="O8" s="115">
        <v>0</v>
      </c>
      <c r="P8" s="115">
        <v>0</v>
      </c>
      <c r="Q8" s="115">
        <v>76.182581734977404</v>
      </c>
      <c r="R8" s="115">
        <v>14.320818655946001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0.69469971303976297</v>
      </c>
      <c r="AF8" s="115">
        <v>2.8074391257072499E-2</v>
      </c>
      <c r="AG8" s="115">
        <v>0</v>
      </c>
      <c r="AH8" s="115">
        <v>0</v>
      </c>
      <c r="AI8" s="115">
        <v>0</v>
      </c>
      <c r="AJ8" s="115">
        <v>-13.8459357530042</v>
      </c>
      <c r="AK8" s="115">
        <v>0</v>
      </c>
      <c r="AL8" s="115">
        <v>29.2073148432594</v>
      </c>
      <c r="AM8" s="115">
        <v>0</v>
      </c>
      <c r="AN8" s="115">
        <v>163.17420280788801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6.5942396789608697</v>
      </c>
    </row>
    <row r="9" spans="2:46" ht="12" customHeight="1" x14ac:dyDescent="0.3">
      <c r="B9" s="114" t="s">
        <v>35</v>
      </c>
      <c r="C9" s="115" t="s">
        <v>75</v>
      </c>
      <c r="D9" s="115" t="s">
        <v>25</v>
      </c>
      <c r="E9" s="115" t="s">
        <v>25</v>
      </c>
      <c r="F9" s="115" t="s">
        <v>25</v>
      </c>
      <c r="G9" s="115" t="s">
        <v>37</v>
      </c>
      <c r="H9" s="115" t="s">
        <v>76</v>
      </c>
      <c r="I9" s="115" t="s">
        <v>25</v>
      </c>
      <c r="J9" s="115">
        <v>118.97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35.6217814120361</v>
      </c>
      <c r="Y9" s="115">
        <v>0</v>
      </c>
      <c r="Z9" s="115">
        <v>0</v>
      </c>
      <c r="AA9" s="115">
        <v>83.348578628551707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3">
      <c r="B10" s="114" t="s">
        <v>35</v>
      </c>
      <c r="C10" s="115" t="s">
        <v>75</v>
      </c>
      <c r="D10" s="115" t="s">
        <v>25</v>
      </c>
      <c r="E10" s="115" t="s">
        <v>25</v>
      </c>
      <c r="F10" s="115" t="s">
        <v>25</v>
      </c>
      <c r="G10" s="115" t="s">
        <v>38</v>
      </c>
      <c r="H10" s="115" t="s">
        <v>72</v>
      </c>
      <c r="I10" s="115" t="s">
        <v>25</v>
      </c>
      <c r="J10" s="115">
        <v>92.09</v>
      </c>
      <c r="K10" s="115">
        <v>185.13</v>
      </c>
      <c r="L10" s="115">
        <v>0</v>
      </c>
      <c r="M10" s="115">
        <v>0.86169513267244702</v>
      </c>
      <c r="N10" s="115">
        <v>0</v>
      </c>
      <c r="O10" s="115">
        <v>0</v>
      </c>
      <c r="P10" s="115">
        <v>0</v>
      </c>
      <c r="Q10" s="115">
        <v>76.182581734977404</v>
      </c>
      <c r="R10" s="115">
        <v>14.320818655946001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0.69469971303976297</v>
      </c>
      <c r="AF10" s="115">
        <v>2.8074391257072499E-2</v>
      </c>
      <c r="AG10" s="115">
        <v>0</v>
      </c>
      <c r="AH10" s="115">
        <v>0</v>
      </c>
      <c r="AI10" s="115">
        <v>0</v>
      </c>
      <c r="AJ10" s="115">
        <v>-13.8459357530042</v>
      </c>
      <c r="AK10" s="115">
        <v>0</v>
      </c>
      <c r="AL10" s="115">
        <v>29.2073148432594</v>
      </c>
      <c r="AM10" s="115">
        <v>0</v>
      </c>
      <c r="AN10" s="115">
        <v>163.17420280788801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6.5942396789608697</v>
      </c>
    </row>
    <row r="11" spans="2:46" ht="12" customHeight="1" x14ac:dyDescent="0.3">
      <c r="B11" s="114" t="s">
        <v>35</v>
      </c>
      <c r="C11" s="115" t="s">
        <v>75</v>
      </c>
      <c r="D11" s="115" t="s">
        <v>25</v>
      </c>
      <c r="E11" s="115" t="s">
        <v>25</v>
      </c>
      <c r="F11" s="115" t="s">
        <v>25</v>
      </c>
      <c r="G11" s="115" t="s">
        <v>38</v>
      </c>
      <c r="H11" s="115" t="s">
        <v>76</v>
      </c>
      <c r="I11" s="115" t="s">
        <v>25</v>
      </c>
      <c r="J11" s="115">
        <v>37.69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14.397831898322</v>
      </c>
      <c r="Y11" s="115">
        <v>0</v>
      </c>
      <c r="Z11" s="115">
        <v>0</v>
      </c>
      <c r="AA11" s="115">
        <v>23.290385415432699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3">
      <c r="B12" s="114" t="s">
        <v>35</v>
      </c>
      <c r="C12" s="115" t="s">
        <v>81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76</v>
      </c>
      <c r="I12" s="115" t="s">
        <v>25</v>
      </c>
      <c r="J12" s="115">
        <v>10.55</v>
      </c>
      <c r="K12" s="115">
        <v>0</v>
      </c>
      <c r="L12" s="115">
        <v>0</v>
      </c>
      <c r="M12" s="115">
        <v>1.0692893773715699E-2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10.5366069694886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3">
      <c r="B13" s="114" t="s">
        <v>35</v>
      </c>
      <c r="C13" s="115" t="s">
        <v>36</v>
      </c>
      <c r="D13" s="115" t="s">
        <v>25</v>
      </c>
      <c r="E13" s="115" t="s">
        <v>25</v>
      </c>
      <c r="F13" s="115" t="s">
        <v>80</v>
      </c>
      <c r="G13" s="115" t="s">
        <v>37</v>
      </c>
      <c r="H13" s="115" t="s">
        <v>72</v>
      </c>
      <c r="I13" s="115" t="s">
        <v>25</v>
      </c>
      <c r="J13" s="115">
        <v>2863.16</v>
      </c>
      <c r="K13" s="115">
        <v>0</v>
      </c>
      <c r="L13" s="115">
        <v>0</v>
      </c>
      <c r="M13" s="115">
        <v>0.86169513267244702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857.04509681884099</v>
      </c>
      <c r="Y13" s="115">
        <v>0</v>
      </c>
      <c r="Z13" s="115">
        <v>0</v>
      </c>
      <c r="AA13" s="115">
        <v>2004.5350036959301</v>
      </c>
      <c r="AB13" s="115">
        <v>0</v>
      </c>
      <c r="AC13" s="115">
        <v>0</v>
      </c>
      <c r="AD13" s="115">
        <v>0</v>
      </c>
      <c r="AE13" s="115">
        <v>0.69469971303976297</v>
      </c>
      <c r="AF13" s="115">
        <v>2.8074391257072499E-2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3">
      <c r="B14" s="114" t="s">
        <v>35</v>
      </c>
      <c r="C14" s="115" t="s">
        <v>36</v>
      </c>
      <c r="D14" s="115" t="s">
        <v>25</v>
      </c>
      <c r="E14" s="115" t="s">
        <v>25</v>
      </c>
      <c r="F14" s="115" t="s">
        <v>80</v>
      </c>
      <c r="G14" s="115" t="s">
        <v>25</v>
      </c>
      <c r="H14" s="115" t="s">
        <v>76</v>
      </c>
      <c r="I14" s="115" t="s">
        <v>25</v>
      </c>
      <c r="J14" s="115">
        <v>37.69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14.397831898322</v>
      </c>
      <c r="Y14" s="115">
        <v>0</v>
      </c>
      <c r="Z14" s="115">
        <v>0</v>
      </c>
      <c r="AA14" s="115">
        <v>23.290385415432699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3">
      <c r="B15" s="114" t="s">
        <v>35</v>
      </c>
      <c r="C15" s="115" t="s">
        <v>36</v>
      </c>
      <c r="D15" s="115" t="s">
        <v>25</v>
      </c>
      <c r="E15" s="115" t="s">
        <v>25</v>
      </c>
      <c r="F15" s="115" t="s">
        <v>80</v>
      </c>
      <c r="G15" s="115" t="s">
        <v>38</v>
      </c>
      <c r="H15" s="115" t="s">
        <v>72</v>
      </c>
      <c r="I15" s="115" t="s">
        <v>25</v>
      </c>
      <c r="J15" s="115">
        <v>1.58</v>
      </c>
      <c r="K15" s="115">
        <v>0</v>
      </c>
      <c r="L15" s="115">
        <v>0</v>
      </c>
      <c r="M15" s="115">
        <v>0.86169513267244702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0.69469971303976297</v>
      </c>
      <c r="AF15" s="115">
        <v>2.8074391257072499E-2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3">
      <c r="B16" s="114" t="s">
        <v>35</v>
      </c>
      <c r="C16" s="115" t="s">
        <v>36</v>
      </c>
      <c r="D16" s="115" t="s">
        <v>25</v>
      </c>
      <c r="E16" s="115" t="s">
        <v>25</v>
      </c>
      <c r="F16" s="115" t="s">
        <v>25</v>
      </c>
      <c r="G16" s="115" t="s">
        <v>37</v>
      </c>
      <c r="H16" s="115" t="s">
        <v>72</v>
      </c>
      <c r="I16" s="115" t="s">
        <v>25</v>
      </c>
      <c r="J16" s="115">
        <v>2953.67</v>
      </c>
      <c r="K16" s="115">
        <v>185.13</v>
      </c>
      <c r="L16" s="115">
        <v>0</v>
      </c>
      <c r="M16" s="115">
        <v>0.86169513267244702</v>
      </c>
      <c r="N16" s="115">
        <v>0</v>
      </c>
      <c r="O16" s="115">
        <v>0</v>
      </c>
      <c r="P16" s="115">
        <v>0</v>
      </c>
      <c r="Q16" s="115">
        <v>76.182581734977404</v>
      </c>
      <c r="R16" s="115">
        <v>14.320818655946001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857.04509681884099</v>
      </c>
      <c r="Y16" s="115">
        <v>0</v>
      </c>
      <c r="Z16" s="115">
        <v>0</v>
      </c>
      <c r="AA16" s="115">
        <v>2004.5350036959301</v>
      </c>
      <c r="AB16" s="115">
        <v>0</v>
      </c>
      <c r="AC16" s="115">
        <v>0</v>
      </c>
      <c r="AD16" s="115">
        <v>0</v>
      </c>
      <c r="AE16" s="115">
        <v>0.69469971303976297</v>
      </c>
      <c r="AF16" s="115">
        <v>2.8074391257072499E-2</v>
      </c>
      <c r="AG16" s="115">
        <v>0</v>
      </c>
      <c r="AH16" s="115">
        <v>0</v>
      </c>
      <c r="AI16" s="115">
        <v>0</v>
      </c>
      <c r="AJ16" s="115">
        <v>-13.8459357530042</v>
      </c>
      <c r="AK16" s="115">
        <v>0</v>
      </c>
      <c r="AL16" s="115">
        <v>29.2073148432594</v>
      </c>
      <c r="AM16" s="115">
        <v>0</v>
      </c>
      <c r="AN16" s="115">
        <v>163.17420280788801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6.5942396789608697</v>
      </c>
    </row>
    <row r="17" spans="2:46" ht="12" customHeight="1" x14ac:dyDescent="0.3">
      <c r="B17" s="114" t="s">
        <v>35</v>
      </c>
      <c r="C17" s="115" t="s">
        <v>36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76</v>
      </c>
      <c r="I17" s="115" t="s">
        <v>25</v>
      </c>
      <c r="J17" s="115">
        <v>37.69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14.397831898322</v>
      </c>
      <c r="Y17" s="115">
        <v>0</v>
      </c>
      <c r="Z17" s="115">
        <v>0</v>
      </c>
      <c r="AA17" s="115">
        <v>23.290385415432699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3">
      <c r="B18" s="114" t="s">
        <v>35</v>
      </c>
      <c r="C18" s="115" t="s">
        <v>36</v>
      </c>
      <c r="D18" s="115" t="s">
        <v>25</v>
      </c>
      <c r="E18" s="115" t="s">
        <v>25</v>
      </c>
      <c r="F18" s="115" t="s">
        <v>25</v>
      </c>
      <c r="G18" s="115" t="s">
        <v>38</v>
      </c>
      <c r="H18" s="115" t="s">
        <v>72</v>
      </c>
      <c r="I18" s="115" t="s">
        <v>25</v>
      </c>
      <c r="J18" s="115">
        <v>92.09</v>
      </c>
      <c r="K18" s="115">
        <v>185.13</v>
      </c>
      <c r="L18" s="115">
        <v>0</v>
      </c>
      <c r="M18" s="115">
        <v>0.86169513267244702</v>
      </c>
      <c r="N18" s="115">
        <v>0</v>
      </c>
      <c r="O18" s="115">
        <v>0</v>
      </c>
      <c r="P18" s="115">
        <v>0</v>
      </c>
      <c r="Q18" s="115">
        <v>76.182581734977404</v>
      </c>
      <c r="R18" s="115">
        <v>14.320818655946001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0.69469971303976297</v>
      </c>
      <c r="AF18" s="115">
        <v>2.8074391257072499E-2</v>
      </c>
      <c r="AG18" s="115">
        <v>0</v>
      </c>
      <c r="AH18" s="115">
        <v>0</v>
      </c>
      <c r="AI18" s="115">
        <v>0</v>
      </c>
      <c r="AJ18" s="115">
        <v>-13.8459357530042</v>
      </c>
      <c r="AK18" s="115">
        <v>0</v>
      </c>
      <c r="AL18" s="115">
        <v>29.2073148432594</v>
      </c>
      <c r="AM18" s="115">
        <v>0</v>
      </c>
      <c r="AN18" s="115">
        <v>163.17420280788801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6.5942396789608697</v>
      </c>
    </row>
    <row r="19" spans="2:46" ht="12" customHeight="1" x14ac:dyDescent="0.3">
      <c r="B19" s="114" t="s">
        <v>82</v>
      </c>
      <c r="C19" s="115" t="s">
        <v>81</v>
      </c>
      <c r="D19" s="115" t="s">
        <v>25</v>
      </c>
      <c r="E19" s="115" t="s">
        <v>25</v>
      </c>
      <c r="F19" s="115" t="s">
        <v>83</v>
      </c>
      <c r="G19" s="115" t="s">
        <v>25</v>
      </c>
      <c r="H19" s="115" t="s">
        <v>76</v>
      </c>
      <c r="I19" s="115" t="s">
        <v>25</v>
      </c>
      <c r="J19" s="115">
        <v>10.88</v>
      </c>
      <c r="K19" s="115">
        <v>0</v>
      </c>
      <c r="L19" s="115">
        <v>0</v>
      </c>
      <c r="M19" s="115">
        <v>1.0998405024393299E-2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10.8683800142358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3">
      <c r="B20" s="114" t="s">
        <v>82</v>
      </c>
      <c r="C20" s="115" t="s">
        <v>81</v>
      </c>
      <c r="D20" s="115" t="s">
        <v>25</v>
      </c>
      <c r="E20" s="115" t="s">
        <v>25</v>
      </c>
      <c r="F20" s="115" t="s">
        <v>84</v>
      </c>
      <c r="G20" s="115" t="s">
        <v>25</v>
      </c>
      <c r="H20" s="115" t="s">
        <v>76</v>
      </c>
      <c r="I20" s="115" t="s">
        <v>25</v>
      </c>
      <c r="J20" s="115">
        <v>22.12</v>
      </c>
      <c r="K20" s="115">
        <v>0</v>
      </c>
      <c r="L20" s="115">
        <v>0</v>
      </c>
      <c r="M20" s="115">
        <v>1.0998405024393299E-2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22.112302966218898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3">
      <c r="B21" s="114" t="s">
        <v>22</v>
      </c>
      <c r="C21" s="115" t="s">
        <v>40</v>
      </c>
      <c r="D21" s="115" t="s">
        <v>24</v>
      </c>
      <c r="E21" s="115" t="s">
        <v>24</v>
      </c>
      <c r="F21" s="115" t="s">
        <v>25</v>
      </c>
      <c r="G21" s="115" t="s">
        <v>37</v>
      </c>
      <c r="H21" s="115" t="s">
        <v>72</v>
      </c>
      <c r="I21" s="115" t="s">
        <v>25</v>
      </c>
      <c r="J21" s="115">
        <v>1358.79</v>
      </c>
      <c r="K21" s="115">
        <v>185.13</v>
      </c>
      <c r="L21" s="115">
        <v>0</v>
      </c>
      <c r="M21" s="115">
        <v>1.55275393310358</v>
      </c>
      <c r="N21" s="115">
        <v>0</v>
      </c>
      <c r="O21" s="115">
        <v>0</v>
      </c>
      <c r="P21" s="115">
        <v>0</v>
      </c>
      <c r="Q21" s="115">
        <v>90.693549684496901</v>
      </c>
      <c r="R21" s="115">
        <v>14.320818655946001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313.76991509293299</v>
      </c>
      <c r="Y21" s="115">
        <v>0</v>
      </c>
      <c r="Z21" s="115">
        <v>0</v>
      </c>
      <c r="AA21" s="115">
        <v>936.57719364135596</v>
      </c>
      <c r="AB21" s="115">
        <v>0</v>
      </c>
      <c r="AC21" s="115">
        <v>0</v>
      </c>
      <c r="AD21" s="115">
        <v>0</v>
      </c>
      <c r="AE21" s="115">
        <v>1.7991627301603901</v>
      </c>
      <c r="AF21" s="115">
        <v>7.2708247136953105E-2</v>
      </c>
      <c r="AG21" s="115">
        <v>0</v>
      </c>
      <c r="AH21" s="115">
        <v>0</v>
      </c>
      <c r="AI21" s="115">
        <v>0</v>
      </c>
      <c r="AJ21" s="115">
        <v>-13.8459357530042</v>
      </c>
      <c r="AK21" s="115">
        <v>0</v>
      </c>
      <c r="AL21" s="115">
        <v>29.2073148432594</v>
      </c>
      <c r="AM21" s="115">
        <v>0</v>
      </c>
      <c r="AN21" s="115">
        <v>163.17420280788801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6.5942396789608697</v>
      </c>
    </row>
    <row r="22" spans="2:46" ht="12" customHeight="1" x14ac:dyDescent="0.3">
      <c r="B22" s="114" t="s">
        <v>22</v>
      </c>
      <c r="C22" s="115" t="s">
        <v>40</v>
      </c>
      <c r="D22" s="115" t="s">
        <v>24</v>
      </c>
      <c r="E22" s="115" t="s">
        <v>24</v>
      </c>
      <c r="F22" s="115" t="s">
        <v>25</v>
      </c>
      <c r="G22" s="115" t="s">
        <v>41</v>
      </c>
      <c r="H22" s="115" t="s">
        <v>72</v>
      </c>
      <c r="I22" s="115" t="s">
        <v>25</v>
      </c>
      <c r="J22" s="115">
        <v>858.65</v>
      </c>
      <c r="K22" s="115">
        <v>185.13</v>
      </c>
      <c r="L22" s="115">
        <v>0</v>
      </c>
      <c r="M22" s="115">
        <v>1.55275393310358</v>
      </c>
      <c r="N22" s="115">
        <v>0</v>
      </c>
      <c r="O22" s="115">
        <v>0</v>
      </c>
      <c r="P22" s="115">
        <v>0</v>
      </c>
      <c r="Q22" s="115">
        <v>90.693549684496901</v>
      </c>
      <c r="R22" s="115">
        <v>14.320818655946001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188.262053098553</v>
      </c>
      <c r="Y22" s="115">
        <v>0</v>
      </c>
      <c r="Z22" s="115">
        <v>0</v>
      </c>
      <c r="AA22" s="115">
        <v>561.94656316226599</v>
      </c>
      <c r="AB22" s="115">
        <v>0</v>
      </c>
      <c r="AC22" s="115">
        <v>0</v>
      </c>
      <c r="AD22" s="115">
        <v>0</v>
      </c>
      <c r="AE22" s="115">
        <v>1.7991627301603901</v>
      </c>
      <c r="AF22" s="115">
        <v>7.2708247136953105E-2</v>
      </c>
      <c r="AG22" s="115">
        <v>0</v>
      </c>
      <c r="AH22" s="115">
        <v>0</v>
      </c>
      <c r="AI22" s="115">
        <v>0</v>
      </c>
      <c r="AJ22" s="115">
        <v>-13.8459357530042</v>
      </c>
      <c r="AK22" s="115">
        <v>0</v>
      </c>
      <c r="AL22" s="115">
        <v>29.2073148432594</v>
      </c>
      <c r="AM22" s="115">
        <v>0</v>
      </c>
      <c r="AN22" s="115">
        <v>163.17420280788801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6.5942396789608697</v>
      </c>
    </row>
    <row r="23" spans="2:46" ht="12" customHeight="1" x14ac:dyDescent="0.3">
      <c r="B23" s="114" t="s">
        <v>22</v>
      </c>
      <c r="C23" s="115" t="s">
        <v>40</v>
      </c>
      <c r="D23" s="115" t="s">
        <v>24</v>
      </c>
      <c r="E23" s="115" t="s">
        <v>24</v>
      </c>
      <c r="F23" s="115" t="s">
        <v>25</v>
      </c>
      <c r="G23" s="115" t="s">
        <v>38</v>
      </c>
      <c r="H23" s="115" t="s">
        <v>72</v>
      </c>
      <c r="I23" s="115" t="s">
        <v>25</v>
      </c>
      <c r="J23" s="115">
        <v>358.57</v>
      </c>
      <c r="K23" s="115">
        <v>185.13</v>
      </c>
      <c r="L23" s="115">
        <v>0</v>
      </c>
      <c r="M23" s="115">
        <v>1.55275393310358</v>
      </c>
      <c r="N23" s="115">
        <v>0</v>
      </c>
      <c r="O23" s="115">
        <v>0</v>
      </c>
      <c r="P23" s="115">
        <v>0</v>
      </c>
      <c r="Q23" s="115">
        <v>90.693549684496901</v>
      </c>
      <c r="R23" s="115">
        <v>14.320818655946001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62.8112845870005</v>
      </c>
      <c r="Y23" s="115">
        <v>0</v>
      </c>
      <c r="Z23" s="115">
        <v>0</v>
      </c>
      <c r="AA23" s="115">
        <v>187.31524663469699</v>
      </c>
      <c r="AB23" s="115">
        <v>0</v>
      </c>
      <c r="AC23" s="115">
        <v>0</v>
      </c>
      <c r="AD23" s="115">
        <v>0</v>
      </c>
      <c r="AE23" s="115">
        <v>1.7991627301603901</v>
      </c>
      <c r="AF23" s="115">
        <v>7.2708247136953105E-2</v>
      </c>
      <c r="AG23" s="115">
        <v>0</v>
      </c>
      <c r="AH23" s="115">
        <v>0</v>
      </c>
      <c r="AI23" s="115">
        <v>0</v>
      </c>
      <c r="AJ23" s="115">
        <v>-13.8459357530042</v>
      </c>
      <c r="AK23" s="115">
        <v>0</v>
      </c>
      <c r="AL23" s="115">
        <v>29.2073148432594</v>
      </c>
      <c r="AM23" s="115">
        <v>0</v>
      </c>
      <c r="AN23" s="115">
        <v>163.17420280788801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6.5942396789608697</v>
      </c>
    </row>
    <row r="24" spans="2:46" ht="12" customHeight="1" x14ac:dyDescent="0.3">
      <c r="B24" s="114" t="s">
        <v>22</v>
      </c>
      <c r="C24" s="115" t="s">
        <v>23</v>
      </c>
      <c r="D24" s="115" t="s">
        <v>24</v>
      </c>
      <c r="E24" s="115" t="s">
        <v>1097</v>
      </c>
      <c r="F24" s="115" t="s">
        <v>25</v>
      </c>
      <c r="G24" s="115" t="s">
        <v>25</v>
      </c>
      <c r="H24" s="115" t="s">
        <v>72</v>
      </c>
      <c r="I24" s="115" t="s">
        <v>25</v>
      </c>
      <c r="J24" s="115">
        <v>466.46</v>
      </c>
      <c r="K24" s="115">
        <v>185.13</v>
      </c>
      <c r="L24" s="115">
        <v>0</v>
      </c>
      <c r="M24" s="115">
        <v>1.55275393310358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116.15805637382999</v>
      </c>
      <c r="Y24" s="115">
        <v>0</v>
      </c>
      <c r="Z24" s="115">
        <v>0</v>
      </c>
      <c r="AA24" s="115">
        <v>346.880518317</v>
      </c>
      <c r="AB24" s="115">
        <v>0</v>
      </c>
      <c r="AC24" s="115">
        <v>0</v>
      </c>
      <c r="AD24" s="115">
        <v>0</v>
      </c>
      <c r="AE24" s="115">
        <v>1.7991627301603901</v>
      </c>
      <c r="AF24" s="115">
        <v>7.2708247136953105E-2</v>
      </c>
      <c r="AG24" s="115">
        <v>0</v>
      </c>
      <c r="AH24" s="115">
        <v>0</v>
      </c>
      <c r="AI24" s="115">
        <v>0</v>
      </c>
      <c r="AJ24" s="115">
        <v>-13.8459357530042</v>
      </c>
      <c r="AK24" s="115">
        <v>0</v>
      </c>
      <c r="AL24" s="115">
        <v>29.2073148432594</v>
      </c>
      <c r="AM24" s="115">
        <v>0</v>
      </c>
      <c r="AN24" s="115">
        <v>163.17420280788801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6.5942396789608697</v>
      </c>
    </row>
    <row r="25" spans="2:46" ht="12" customHeight="1" x14ac:dyDescent="0.3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72</v>
      </c>
      <c r="I25" s="115" t="s">
        <v>25</v>
      </c>
      <c r="J25" s="115">
        <v>571.48</v>
      </c>
      <c r="K25" s="115">
        <v>185.13</v>
      </c>
      <c r="L25" s="115">
        <v>0</v>
      </c>
      <c r="M25" s="115">
        <v>1.55275393310358</v>
      </c>
      <c r="N25" s="115">
        <v>0</v>
      </c>
      <c r="O25" s="115">
        <v>0</v>
      </c>
      <c r="P25" s="115">
        <v>0</v>
      </c>
      <c r="Q25" s="115">
        <v>90.693549684496901</v>
      </c>
      <c r="R25" s="115">
        <v>14.320818655946001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116.15805637382999</v>
      </c>
      <c r="Y25" s="115">
        <v>0</v>
      </c>
      <c r="Z25" s="115">
        <v>0</v>
      </c>
      <c r="AA25" s="115">
        <v>346.880518317</v>
      </c>
      <c r="AB25" s="115">
        <v>0</v>
      </c>
      <c r="AC25" s="115">
        <v>0</v>
      </c>
      <c r="AD25" s="115">
        <v>0</v>
      </c>
      <c r="AE25" s="115">
        <v>1.7991627301603901</v>
      </c>
      <c r="AF25" s="115">
        <v>7.2708247136953105E-2</v>
      </c>
      <c r="AG25" s="115">
        <v>0</v>
      </c>
      <c r="AH25" s="115">
        <v>0</v>
      </c>
      <c r="AI25" s="115">
        <v>0</v>
      </c>
      <c r="AJ25" s="115">
        <v>-13.8459357530042</v>
      </c>
      <c r="AK25" s="115">
        <v>0</v>
      </c>
      <c r="AL25" s="115">
        <v>29.2073148432594</v>
      </c>
      <c r="AM25" s="115">
        <v>0</v>
      </c>
      <c r="AN25" s="115">
        <v>163.17420280788801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6.5942396789608697</v>
      </c>
    </row>
    <row r="26" spans="2:46" ht="12" customHeight="1" x14ac:dyDescent="0.3">
      <c r="B26" s="114" t="s">
        <v>22</v>
      </c>
      <c r="C26" s="115" t="s">
        <v>88</v>
      </c>
      <c r="D26" s="115" t="s">
        <v>24</v>
      </c>
      <c r="E26" s="115" t="s">
        <v>1097</v>
      </c>
      <c r="F26" s="115" t="s">
        <v>25</v>
      </c>
      <c r="G26" s="115" t="s">
        <v>25</v>
      </c>
      <c r="H26" s="115" t="s">
        <v>72</v>
      </c>
      <c r="I26" s="115" t="s">
        <v>25</v>
      </c>
      <c r="J26" s="115">
        <v>466.46</v>
      </c>
      <c r="K26" s="115">
        <v>185.13</v>
      </c>
      <c r="L26" s="115">
        <v>0</v>
      </c>
      <c r="M26" s="115">
        <v>1.55275393310358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116.15805637382999</v>
      </c>
      <c r="Y26" s="115">
        <v>0</v>
      </c>
      <c r="Z26" s="115">
        <v>0</v>
      </c>
      <c r="AA26" s="115">
        <v>346.880518317</v>
      </c>
      <c r="AB26" s="115">
        <v>0</v>
      </c>
      <c r="AC26" s="115">
        <v>0</v>
      </c>
      <c r="AD26" s="115">
        <v>0</v>
      </c>
      <c r="AE26" s="115">
        <v>1.7991627301603901</v>
      </c>
      <c r="AF26" s="115">
        <v>7.2708247136953105E-2</v>
      </c>
      <c r="AG26" s="115">
        <v>0</v>
      </c>
      <c r="AH26" s="115">
        <v>0</v>
      </c>
      <c r="AI26" s="115">
        <v>0</v>
      </c>
      <c r="AJ26" s="115">
        <v>-13.8459357530042</v>
      </c>
      <c r="AK26" s="115">
        <v>0</v>
      </c>
      <c r="AL26" s="115">
        <v>29.2073148432594</v>
      </c>
      <c r="AM26" s="115">
        <v>0</v>
      </c>
      <c r="AN26" s="115">
        <v>163.17420280788801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6.5942396789608697</v>
      </c>
    </row>
    <row r="27" spans="2:46" ht="12" customHeight="1" x14ac:dyDescent="0.3">
      <c r="B27" s="114" t="s">
        <v>22</v>
      </c>
      <c r="C27" s="115" t="s">
        <v>88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72</v>
      </c>
      <c r="I27" s="115" t="s">
        <v>25</v>
      </c>
      <c r="J27" s="115">
        <v>571.48</v>
      </c>
      <c r="K27" s="115">
        <v>185.13</v>
      </c>
      <c r="L27" s="115">
        <v>0</v>
      </c>
      <c r="M27" s="115">
        <v>1.55275393310358</v>
      </c>
      <c r="N27" s="115">
        <v>0</v>
      </c>
      <c r="O27" s="115">
        <v>0</v>
      </c>
      <c r="P27" s="115">
        <v>0</v>
      </c>
      <c r="Q27" s="115">
        <v>90.693549684496901</v>
      </c>
      <c r="R27" s="115">
        <v>14.320818655946001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116.15805637382999</v>
      </c>
      <c r="Y27" s="115">
        <v>0</v>
      </c>
      <c r="Z27" s="115">
        <v>0</v>
      </c>
      <c r="AA27" s="115">
        <v>346.880518317</v>
      </c>
      <c r="AB27" s="115">
        <v>0</v>
      </c>
      <c r="AC27" s="115">
        <v>0</v>
      </c>
      <c r="AD27" s="115">
        <v>0</v>
      </c>
      <c r="AE27" s="115">
        <v>1.7991627301603901</v>
      </c>
      <c r="AF27" s="115">
        <v>7.2708247136953105E-2</v>
      </c>
      <c r="AG27" s="115">
        <v>0</v>
      </c>
      <c r="AH27" s="115">
        <v>0</v>
      </c>
      <c r="AI27" s="115">
        <v>0</v>
      </c>
      <c r="AJ27" s="115">
        <v>-13.8459357530042</v>
      </c>
      <c r="AK27" s="115">
        <v>0</v>
      </c>
      <c r="AL27" s="115">
        <v>29.2073148432594</v>
      </c>
      <c r="AM27" s="115">
        <v>0</v>
      </c>
      <c r="AN27" s="115">
        <v>163.17420280788801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6.5942396789608697</v>
      </c>
    </row>
    <row r="28" spans="2:46" ht="12" customHeight="1" x14ac:dyDescent="0.3">
      <c r="B28" s="114" t="s">
        <v>42</v>
      </c>
      <c r="C28" s="115" t="s">
        <v>40</v>
      </c>
      <c r="D28" s="115" t="s">
        <v>43</v>
      </c>
      <c r="E28" s="115" t="s">
        <v>89</v>
      </c>
      <c r="F28" s="115" t="s">
        <v>25</v>
      </c>
      <c r="G28" s="115" t="s">
        <v>37</v>
      </c>
      <c r="H28" s="115" t="s">
        <v>72</v>
      </c>
      <c r="I28" s="115" t="s">
        <v>25</v>
      </c>
      <c r="J28" s="115">
        <v>1385.95</v>
      </c>
      <c r="K28" s="115">
        <v>174.02</v>
      </c>
      <c r="L28" s="115">
        <v>0</v>
      </c>
      <c r="M28" s="115">
        <v>1.4595886971173599</v>
      </c>
      <c r="N28" s="115">
        <v>0</v>
      </c>
      <c r="O28" s="115">
        <v>0</v>
      </c>
      <c r="P28" s="115">
        <v>0</v>
      </c>
      <c r="Q28" s="115">
        <v>85.251936703427106</v>
      </c>
      <c r="R28" s="115">
        <v>13.461569536589201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322.11959115532801</v>
      </c>
      <c r="Y28" s="115">
        <v>0</v>
      </c>
      <c r="Z28" s="115">
        <v>0</v>
      </c>
      <c r="AA28" s="115">
        <v>961.89958056020498</v>
      </c>
      <c r="AB28" s="115">
        <v>0</v>
      </c>
      <c r="AC28" s="115">
        <v>0</v>
      </c>
      <c r="AD28" s="115">
        <v>0</v>
      </c>
      <c r="AE28" s="115">
        <v>1.69121296635076</v>
      </c>
      <c r="AF28" s="115">
        <v>6.8345752308735894E-2</v>
      </c>
      <c r="AG28" s="115">
        <v>0</v>
      </c>
      <c r="AH28" s="115">
        <v>0</v>
      </c>
      <c r="AI28" s="115">
        <v>0</v>
      </c>
      <c r="AJ28" s="115">
        <v>-13.015179607823899</v>
      </c>
      <c r="AK28" s="115">
        <v>0</v>
      </c>
      <c r="AL28" s="115">
        <v>27.454875952663802</v>
      </c>
      <c r="AM28" s="115">
        <v>0</v>
      </c>
      <c r="AN28" s="115">
        <v>153.38375063941399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6.1985852982232199</v>
      </c>
    </row>
    <row r="29" spans="2:46" ht="12" customHeight="1" x14ac:dyDescent="0.3">
      <c r="B29" s="114" t="s">
        <v>42</v>
      </c>
      <c r="C29" s="115" t="s">
        <v>40</v>
      </c>
      <c r="D29" s="115" t="s">
        <v>43</v>
      </c>
      <c r="E29" s="115" t="s">
        <v>89</v>
      </c>
      <c r="F29" s="115" t="s">
        <v>25</v>
      </c>
      <c r="G29" s="115" t="s">
        <v>41</v>
      </c>
      <c r="H29" s="115" t="s">
        <v>72</v>
      </c>
      <c r="I29" s="115" t="s">
        <v>25</v>
      </c>
      <c r="J29" s="115">
        <v>872.32</v>
      </c>
      <c r="K29" s="115">
        <v>174.02</v>
      </c>
      <c r="L29" s="115">
        <v>0</v>
      </c>
      <c r="M29" s="115">
        <v>1.4595886971173599</v>
      </c>
      <c r="N29" s="115">
        <v>0</v>
      </c>
      <c r="O29" s="115">
        <v>0</v>
      </c>
      <c r="P29" s="115">
        <v>0</v>
      </c>
      <c r="Q29" s="115">
        <v>85.251936703427106</v>
      </c>
      <c r="R29" s="115">
        <v>13.461569536589201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193.250189743428</v>
      </c>
      <c r="Y29" s="115">
        <v>0</v>
      </c>
      <c r="Z29" s="115">
        <v>0</v>
      </c>
      <c r="AA29" s="115">
        <v>577.13956776816303</v>
      </c>
      <c r="AB29" s="115">
        <v>0</v>
      </c>
      <c r="AC29" s="115">
        <v>0</v>
      </c>
      <c r="AD29" s="115">
        <v>0</v>
      </c>
      <c r="AE29" s="115">
        <v>1.69121296635076</v>
      </c>
      <c r="AF29" s="115">
        <v>6.8345752308735894E-2</v>
      </c>
      <c r="AG29" s="115">
        <v>0</v>
      </c>
      <c r="AH29" s="115">
        <v>0</v>
      </c>
      <c r="AI29" s="115">
        <v>0</v>
      </c>
      <c r="AJ29" s="115">
        <v>-13.015179607823899</v>
      </c>
      <c r="AK29" s="115">
        <v>0</v>
      </c>
      <c r="AL29" s="115">
        <v>27.454875952663802</v>
      </c>
      <c r="AM29" s="115">
        <v>0</v>
      </c>
      <c r="AN29" s="115">
        <v>153.38375063941399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6.1985852982232199</v>
      </c>
    </row>
    <row r="30" spans="2:46" ht="12" customHeight="1" x14ac:dyDescent="0.3">
      <c r="B30" s="114" t="s">
        <v>42</v>
      </c>
      <c r="C30" s="115" t="s">
        <v>40</v>
      </c>
      <c r="D30" s="115" t="s">
        <v>43</v>
      </c>
      <c r="E30" s="115" t="s">
        <v>89</v>
      </c>
      <c r="F30" s="115" t="s">
        <v>25</v>
      </c>
      <c r="G30" s="115" t="s">
        <v>38</v>
      </c>
      <c r="H30" s="115" t="s">
        <v>72</v>
      </c>
      <c r="I30" s="115" t="s">
        <v>25</v>
      </c>
      <c r="J30" s="115">
        <v>358.69</v>
      </c>
      <c r="K30" s="115">
        <v>174.02</v>
      </c>
      <c r="L30" s="115">
        <v>0</v>
      </c>
      <c r="M30" s="115">
        <v>1.4595886971173599</v>
      </c>
      <c r="N30" s="115">
        <v>0</v>
      </c>
      <c r="O30" s="115">
        <v>0</v>
      </c>
      <c r="P30" s="115">
        <v>0</v>
      </c>
      <c r="Q30" s="115">
        <v>85.251936703427106</v>
      </c>
      <c r="R30" s="115">
        <v>13.461569536589201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64.380788331528095</v>
      </c>
      <c r="Y30" s="115">
        <v>0</v>
      </c>
      <c r="Z30" s="115">
        <v>0</v>
      </c>
      <c r="AA30" s="115">
        <v>192.37981293035</v>
      </c>
      <c r="AB30" s="115">
        <v>0</v>
      </c>
      <c r="AC30" s="115">
        <v>0</v>
      </c>
      <c r="AD30" s="115">
        <v>0</v>
      </c>
      <c r="AE30" s="115">
        <v>1.69121296635076</v>
      </c>
      <c r="AF30" s="115">
        <v>6.8345752308735894E-2</v>
      </c>
      <c r="AG30" s="115">
        <v>0</v>
      </c>
      <c r="AH30" s="115">
        <v>0</v>
      </c>
      <c r="AI30" s="115">
        <v>0</v>
      </c>
      <c r="AJ30" s="115">
        <v>-13.015179607823899</v>
      </c>
      <c r="AK30" s="115">
        <v>0</v>
      </c>
      <c r="AL30" s="115">
        <v>27.454875952663802</v>
      </c>
      <c r="AM30" s="115">
        <v>0</v>
      </c>
      <c r="AN30" s="115">
        <v>153.38375063941399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6.1985852982232199</v>
      </c>
    </row>
    <row r="31" spans="2:46" ht="12" customHeight="1" x14ac:dyDescent="0.3">
      <c r="B31" s="114" t="s">
        <v>42</v>
      </c>
      <c r="C31" s="115" t="s">
        <v>40</v>
      </c>
      <c r="D31" s="115" t="s">
        <v>43</v>
      </c>
      <c r="E31" s="115" t="s">
        <v>25</v>
      </c>
      <c r="F31" s="115" t="s">
        <v>25</v>
      </c>
      <c r="G31" s="115" t="s">
        <v>37</v>
      </c>
      <c r="H31" s="115" t="s">
        <v>72</v>
      </c>
      <c r="I31" s="115" t="s">
        <v>25</v>
      </c>
      <c r="J31" s="115">
        <v>1385.95</v>
      </c>
      <c r="K31" s="115">
        <v>174.02</v>
      </c>
      <c r="L31" s="115">
        <v>0</v>
      </c>
      <c r="M31" s="115">
        <v>1.4595886971173599</v>
      </c>
      <c r="N31" s="115">
        <v>0</v>
      </c>
      <c r="O31" s="115">
        <v>0</v>
      </c>
      <c r="P31" s="115">
        <v>0</v>
      </c>
      <c r="Q31" s="115">
        <v>85.251936703427106</v>
      </c>
      <c r="R31" s="115">
        <v>13.461569536589201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322.11959115532801</v>
      </c>
      <c r="Y31" s="115">
        <v>0</v>
      </c>
      <c r="Z31" s="115">
        <v>0</v>
      </c>
      <c r="AA31" s="115">
        <v>961.89958056020498</v>
      </c>
      <c r="AB31" s="115">
        <v>0</v>
      </c>
      <c r="AC31" s="115">
        <v>0</v>
      </c>
      <c r="AD31" s="115">
        <v>0</v>
      </c>
      <c r="AE31" s="115">
        <v>1.69121296635076</v>
      </c>
      <c r="AF31" s="115">
        <v>6.8345752308735894E-2</v>
      </c>
      <c r="AG31" s="115">
        <v>0</v>
      </c>
      <c r="AH31" s="115">
        <v>0</v>
      </c>
      <c r="AI31" s="115">
        <v>0</v>
      </c>
      <c r="AJ31" s="115">
        <v>-13.015179607823899</v>
      </c>
      <c r="AK31" s="115">
        <v>0</v>
      </c>
      <c r="AL31" s="115">
        <v>27.454875952663802</v>
      </c>
      <c r="AM31" s="115">
        <v>0</v>
      </c>
      <c r="AN31" s="115">
        <v>153.38375063941399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6.1985852982232199</v>
      </c>
    </row>
    <row r="32" spans="2:46" ht="12" customHeight="1" x14ac:dyDescent="0.3">
      <c r="B32" s="114" t="s">
        <v>42</v>
      </c>
      <c r="C32" s="115" t="s">
        <v>40</v>
      </c>
      <c r="D32" s="115" t="s">
        <v>43</v>
      </c>
      <c r="E32" s="115" t="s">
        <v>25</v>
      </c>
      <c r="F32" s="115" t="s">
        <v>25</v>
      </c>
      <c r="G32" s="115" t="s">
        <v>41</v>
      </c>
      <c r="H32" s="115" t="s">
        <v>72</v>
      </c>
      <c r="I32" s="115" t="s">
        <v>25</v>
      </c>
      <c r="J32" s="115">
        <v>872.32</v>
      </c>
      <c r="K32" s="115">
        <v>174.02</v>
      </c>
      <c r="L32" s="115">
        <v>0</v>
      </c>
      <c r="M32" s="115">
        <v>1.4595886971173599</v>
      </c>
      <c r="N32" s="115">
        <v>0</v>
      </c>
      <c r="O32" s="115">
        <v>0</v>
      </c>
      <c r="P32" s="115">
        <v>0</v>
      </c>
      <c r="Q32" s="115">
        <v>85.251936703427106</v>
      </c>
      <c r="R32" s="115">
        <v>13.461569536589201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193.250189743428</v>
      </c>
      <c r="Y32" s="115">
        <v>0</v>
      </c>
      <c r="Z32" s="115">
        <v>0</v>
      </c>
      <c r="AA32" s="115">
        <v>577.13956776816303</v>
      </c>
      <c r="AB32" s="115">
        <v>0</v>
      </c>
      <c r="AC32" s="115">
        <v>0</v>
      </c>
      <c r="AD32" s="115">
        <v>0</v>
      </c>
      <c r="AE32" s="115">
        <v>1.69121296635076</v>
      </c>
      <c r="AF32" s="115">
        <v>6.8345752308735894E-2</v>
      </c>
      <c r="AG32" s="115">
        <v>0</v>
      </c>
      <c r="AH32" s="115">
        <v>0</v>
      </c>
      <c r="AI32" s="115">
        <v>0</v>
      </c>
      <c r="AJ32" s="115">
        <v>-13.015179607823899</v>
      </c>
      <c r="AK32" s="115">
        <v>0</v>
      </c>
      <c r="AL32" s="115">
        <v>27.454875952663802</v>
      </c>
      <c r="AM32" s="115">
        <v>0</v>
      </c>
      <c r="AN32" s="115">
        <v>153.38375063941399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6.1985852982232199</v>
      </c>
    </row>
    <row r="33" spans="2:46" ht="12" customHeight="1" x14ac:dyDescent="0.3">
      <c r="B33" s="114" t="s">
        <v>42</v>
      </c>
      <c r="C33" s="115" t="s">
        <v>40</v>
      </c>
      <c r="D33" s="115" t="s">
        <v>43</v>
      </c>
      <c r="E33" s="115" t="s">
        <v>25</v>
      </c>
      <c r="F33" s="115" t="s">
        <v>25</v>
      </c>
      <c r="G33" s="115" t="s">
        <v>38</v>
      </c>
      <c r="H33" s="115" t="s">
        <v>72</v>
      </c>
      <c r="I33" s="115" t="s">
        <v>25</v>
      </c>
      <c r="J33" s="115">
        <v>358.69</v>
      </c>
      <c r="K33" s="115">
        <v>174.02</v>
      </c>
      <c r="L33" s="115">
        <v>0</v>
      </c>
      <c r="M33" s="115">
        <v>1.4595886971173599</v>
      </c>
      <c r="N33" s="115">
        <v>0</v>
      </c>
      <c r="O33" s="115">
        <v>0</v>
      </c>
      <c r="P33" s="115">
        <v>0</v>
      </c>
      <c r="Q33" s="115">
        <v>85.251936703427106</v>
      </c>
      <c r="R33" s="115">
        <v>13.461569536589201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64.380788331528095</v>
      </c>
      <c r="Y33" s="115">
        <v>0</v>
      </c>
      <c r="Z33" s="115">
        <v>0</v>
      </c>
      <c r="AA33" s="115">
        <v>192.37981293035</v>
      </c>
      <c r="AB33" s="115">
        <v>0</v>
      </c>
      <c r="AC33" s="115">
        <v>0</v>
      </c>
      <c r="AD33" s="115">
        <v>0</v>
      </c>
      <c r="AE33" s="115">
        <v>1.69121296635076</v>
      </c>
      <c r="AF33" s="115">
        <v>6.8345752308735894E-2</v>
      </c>
      <c r="AG33" s="115">
        <v>0</v>
      </c>
      <c r="AH33" s="115">
        <v>0</v>
      </c>
      <c r="AI33" s="115">
        <v>0</v>
      </c>
      <c r="AJ33" s="115">
        <v>-13.015179607823899</v>
      </c>
      <c r="AK33" s="115">
        <v>0</v>
      </c>
      <c r="AL33" s="115">
        <v>27.454875952663802</v>
      </c>
      <c r="AM33" s="115">
        <v>0</v>
      </c>
      <c r="AN33" s="115">
        <v>153.38375063941399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6.1985852982232199</v>
      </c>
    </row>
    <row r="34" spans="2:46" ht="12" customHeight="1" x14ac:dyDescent="0.3">
      <c r="B34" s="114" t="s">
        <v>42</v>
      </c>
      <c r="C34" s="115" t="s">
        <v>40</v>
      </c>
      <c r="D34" s="115" t="s">
        <v>43</v>
      </c>
      <c r="E34" s="115" t="s">
        <v>90</v>
      </c>
      <c r="F34" s="115" t="s">
        <v>25</v>
      </c>
      <c r="G34" s="115" t="s">
        <v>37</v>
      </c>
      <c r="H34" s="115" t="s">
        <v>72</v>
      </c>
      <c r="I34" s="115" t="s">
        <v>25</v>
      </c>
      <c r="J34" s="115">
        <v>1356.46</v>
      </c>
      <c r="K34" s="115">
        <v>170.32</v>
      </c>
      <c r="L34" s="115">
        <v>0</v>
      </c>
      <c r="M34" s="115">
        <v>1.4285336184552899</v>
      </c>
      <c r="N34" s="115">
        <v>0</v>
      </c>
      <c r="O34" s="115">
        <v>0</v>
      </c>
      <c r="P34" s="115">
        <v>0</v>
      </c>
      <c r="Q34" s="115">
        <v>83.438065709737103</v>
      </c>
      <c r="R34" s="115">
        <v>13.1751531634703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315.26598283287399</v>
      </c>
      <c r="Y34" s="115">
        <v>0</v>
      </c>
      <c r="Z34" s="115">
        <v>0</v>
      </c>
      <c r="AA34" s="115">
        <v>941.43363203764704</v>
      </c>
      <c r="AB34" s="115">
        <v>0</v>
      </c>
      <c r="AC34" s="115">
        <v>0</v>
      </c>
      <c r="AD34" s="115">
        <v>0</v>
      </c>
      <c r="AE34" s="115">
        <v>1.6552297117475601</v>
      </c>
      <c r="AF34" s="115">
        <v>6.6891587365996902E-2</v>
      </c>
      <c r="AG34" s="115">
        <v>0</v>
      </c>
      <c r="AH34" s="115">
        <v>0</v>
      </c>
      <c r="AI34" s="115">
        <v>0</v>
      </c>
      <c r="AJ34" s="115">
        <v>-12.738260892763799</v>
      </c>
      <c r="AK34" s="115">
        <v>0</v>
      </c>
      <c r="AL34" s="115">
        <v>26.870729655798598</v>
      </c>
      <c r="AM34" s="115">
        <v>0</v>
      </c>
      <c r="AN34" s="115">
        <v>150.12026658325701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6.0667005046440003</v>
      </c>
    </row>
    <row r="35" spans="2:46" ht="12" customHeight="1" x14ac:dyDescent="0.3">
      <c r="B35" s="114" t="s">
        <v>42</v>
      </c>
      <c r="C35" s="115" t="s">
        <v>40</v>
      </c>
      <c r="D35" s="115" t="s">
        <v>43</v>
      </c>
      <c r="E35" s="115" t="s">
        <v>90</v>
      </c>
      <c r="F35" s="115" t="s">
        <v>25</v>
      </c>
      <c r="G35" s="115" t="s">
        <v>41</v>
      </c>
      <c r="H35" s="115" t="s">
        <v>72</v>
      </c>
      <c r="I35" s="115" t="s">
        <v>25</v>
      </c>
      <c r="J35" s="115">
        <v>853.76</v>
      </c>
      <c r="K35" s="115">
        <v>170.32</v>
      </c>
      <c r="L35" s="115">
        <v>0</v>
      </c>
      <c r="M35" s="115">
        <v>1.4285336184552899</v>
      </c>
      <c r="N35" s="115">
        <v>0</v>
      </c>
      <c r="O35" s="115">
        <v>0</v>
      </c>
      <c r="P35" s="115">
        <v>0</v>
      </c>
      <c r="Q35" s="115">
        <v>83.438065709737103</v>
      </c>
      <c r="R35" s="115">
        <v>13.1751531634703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189.138483578674</v>
      </c>
      <c r="Y35" s="115">
        <v>0</v>
      </c>
      <c r="Z35" s="115">
        <v>0</v>
      </c>
      <c r="AA35" s="115">
        <v>564.86000249649999</v>
      </c>
      <c r="AB35" s="115">
        <v>0</v>
      </c>
      <c r="AC35" s="115">
        <v>0</v>
      </c>
      <c r="AD35" s="115">
        <v>0</v>
      </c>
      <c r="AE35" s="115">
        <v>1.6552297117475601</v>
      </c>
      <c r="AF35" s="115">
        <v>6.6891587365996902E-2</v>
      </c>
      <c r="AG35" s="115">
        <v>0</v>
      </c>
      <c r="AH35" s="115">
        <v>0</v>
      </c>
      <c r="AI35" s="115">
        <v>0</v>
      </c>
      <c r="AJ35" s="115">
        <v>-12.738260892763799</v>
      </c>
      <c r="AK35" s="115">
        <v>0</v>
      </c>
      <c r="AL35" s="115">
        <v>26.870729655798598</v>
      </c>
      <c r="AM35" s="115">
        <v>0</v>
      </c>
      <c r="AN35" s="115">
        <v>150.12026658325701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6.0667005046440003</v>
      </c>
    </row>
    <row r="36" spans="2:46" ht="12" customHeight="1" x14ac:dyDescent="0.3">
      <c r="B36" s="114" t="s">
        <v>42</v>
      </c>
      <c r="C36" s="115" t="s">
        <v>40</v>
      </c>
      <c r="D36" s="115" t="s">
        <v>43</v>
      </c>
      <c r="E36" s="115" t="s">
        <v>90</v>
      </c>
      <c r="F36" s="115" t="s">
        <v>25</v>
      </c>
      <c r="G36" s="115" t="s">
        <v>38</v>
      </c>
      <c r="H36" s="115" t="s">
        <v>72</v>
      </c>
      <c r="I36" s="115" t="s">
        <v>25</v>
      </c>
      <c r="J36" s="115">
        <v>351.06</v>
      </c>
      <c r="K36" s="115">
        <v>170.32</v>
      </c>
      <c r="L36" s="115">
        <v>0</v>
      </c>
      <c r="M36" s="115">
        <v>1.4285336184552899</v>
      </c>
      <c r="N36" s="115">
        <v>0</v>
      </c>
      <c r="O36" s="115">
        <v>0</v>
      </c>
      <c r="P36" s="115">
        <v>0</v>
      </c>
      <c r="Q36" s="115">
        <v>83.438065709737103</v>
      </c>
      <c r="R36" s="115">
        <v>13.1751531634703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63.0109843244743</v>
      </c>
      <c r="Y36" s="115">
        <v>0</v>
      </c>
      <c r="Z36" s="115">
        <v>0</v>
      </c>
      <c r="AA36" s="115">
        <v>188.28662542119301</v>
      </c>
      <c r="AB36" s="115">
        <v>0</v>
      </c>
      <c r="AC36" s="115">
        <v>0</v>
      </c>
      <c r="AD36" s="115">
        <v>0</v>
      </c>
      <c r="AE36" s="115">
        <v>1.6552297117475601</v>
      </c>
      <c r="AF36" s="115">
        <v>6.6891587365996902E-2</v>
      </c>
      <c r="AG36" s="115">
        <v>0</v>
      </c>
      <c r="AH36" s="115">
        <v>0</v>
      </c>
      <c r="AI36" s="115">
        <v>0</v>
      </c>
      <c r="AJ36" s="115">
        <v>-12.738260892763799</v>
      </c>
      <c r="AK36" s="115">
        <v>0</v>
      </c>
      <c r="AL36" s="115">
        <v>26.870729655798598</v>
      </c>
      <c r="AM36" s="115">
        <v>0</v>
      </c>
      <c r="AN36" s="115">
        <v>150.12026658325701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6.0667005046440003</v>
      </c>
    </row>
    <row r="37" spans="2:46" ht="12" customHeight="1" x14ac:dyDescent="0.3">
      <c r="B37" s="114" t="s">
        <v>42</v>
      </c>
      <c r="C37" s="115" t="s">
        <v>23</v>
      </c>
      <c r="D37" s="115" t="s">
        <v>43</v>
      </c>
      <c r="E37" s="115" t="s">
        <v>89</v>
      </c>
      <c r="F37" s="115" t="s">
        <v>25</v>
      </c>
      <c r="G37" s="115" t="s">
        <v>25</v>
      </c>
      <c r="H37" s="115" t="s">
        <v>72</v>
      </c>
      <c r="I37" s="115" t="s">
        <v>25</v>
      </c>
      <c r="J37" s="115">
        <v>537.19000000000005</v>
      </c>
      <c r="K37" s="115">
        <v>174.02</v>
      </c>
      <c r="L37" s="115">
        <v>0</v>
      </c>
      <c r="M37" s="115">
        <v>1.4595886971173599</v>
      </c>
      <c r="N37" s="115">
        <v>0</v>
      </c>
      <c r="O37" s="115">
        <v>0</v>
      </c>
      <c r="P37" s="115">
        <v>0</v>
      </c>
      <c r="Q37" s="115">
        <v>85.251936703427106</v>
      </c>
      <c r="R37" s="115">
        <v>13.461569536589201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109.188572991401</v>
      </c>
      <c r="Y37" s="115">
        <v>0</v>
      </c>
      <c r="Z37" s="115">
        <v>0</v>
      </c>
      <c r="AA37" s="115">
        <v>326.06768721797999</v>
      </c>
      <c r="AB37" s="115">
        <v>0</v>
      </c>
      <c r="AC37" s="115">
        <v>0</v>
      </c>
      <c r="AD37" s="115">
        <v>0</v>
      </c>
      <c r="AE37" s="115">
        <v>1.69121296635076</v>
      </c>
      <c r="AF37" s="115">
        <v>6.8345752308735894E-2</v>
      </c>
      <c r="AG37" s="115">
        <v>0</v>
      </c>
      <c r="AH37" s="115">
        <v>0</v>
      </c>
      <c r="AI37" s="115">
        <v>0</v>
      </c>
      <c r="AJ37" s="115">
        <v>-13.015179607823899</v>
      </c>
      <c r="AK37" s="115">
        <v>0</v>
      </c>
      <c r="AL37" s="115">
        <v>27.454875952663802</v>
      </c>
      <c r="AM37" s="115">
        <v>0</v>
      </c>
      <c r="AN37" s="115">
        <v>153.38375063941399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6.1985852982232199</v>
      </c>
    </row>
    <row r="38" spans="2:46" ht="12" customHeight="1" x14ac:dyDescent="0.3">
      <c r="B38" s="114" t="s">
        <v>42</v>
      </c>
      <c r="C38" s="115" t="s">
        <v>23</v>
      </c>
      <c r="D38" s="115" t="s">
        <v>43</v>
      </c>
      <c r="E38" s="115" t="s">
        <v>25</v>
      </c>
      <c r="F38" s="115" t="s">
        <v>25</v>
      </c>
      <c r="G38" s="115" t="s">
        <v>25</v>
      </c>
      <c r="H38" s="115" t="s">
        <v>72</v>
      </c>
      <c r="I38" s="115" t="s">
        <v>25</v>
      </c>
      <c r="J38" s="115">
        <v>537.19000000000005</v>
      </c>
      <c r="K38" s="115">
        <v>174.02</v>
      </c>
      <c r="L38" s="115">
        <v>0</v>
      </c>
      <c r="M38" s="115">
        <v>1.4595886971173599</v>
      </c>
      <c r="N38" s="115">
        <v>0</v>
      </c>
      <c r="O38" s="115">
        <v>0</v>
      </c>
      <c r="P38" s="115">
        <v>0</v>
      </c>
      <c r="Q38" s="115">
        <v>85.251936703427106</v>
      </c>
      <c r="R38" s="115">
        <v>13.461569536589201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109.188572991401</v>
      </c>
      <c r="Y38" s="115">
        <v>0</v>
      </c>
      <c r="Z38" s="115">
        <v>0</v>
      </c>
      <c r="AA38" s="115">
        <v>326.06768721797999</v>
      </c>
      <c r="AB38" s="115">
        <v>0</v>
      </c>
      <c r="AC38" s="115">
        <v>0</v>
      </c>
      <c r="AD38" s="115">
        <v>0</v>
      </c>
      <c r="AE38" s="115">
        <v>1.69121296635076</v>
      </c>
      <c r="AF38" s="115">
        <v>6.8345752308735894E-2</v>
      </c>
      <c r="AG38" s="115">
        <v>0</v>
      </c>
      <c r="AH38" s="115">
        <v>0</v>
      </c>
      <c r="AI38" s="115">
        <v>0</v>
      </c>
      <c r="AJ38" s="115">
        <v>-13.015179607823899</v>
      </c>
      <c r="AK38" s="115">
        <v>0</v>
      </c>
      <c r="AL38" s="115">
        <v>27.454875952663802</v>
      </c>
      <c r="AM38" s="115">
        <v>0</v>
      </c>
      <c r="AN38" s="115">
        <v>153.38375063941399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6.1985852982232199</v>
      </c>
    </row>
    <row r="39" spans="2:46" ht="12" customHeight="1" x14ac:dyDescent="0.3">
      <c r="B39" s="114" t="s">
        <v>42</v>
      </c>
      <c r="C39" s="115" t="s">
        <v>23</v>
      </c>
      <c r="D39" s="115" t="s">
        <v>43</v>
      </c>
      <c r="E39" s="115" t="s">
        <v>90</v>
      </c>
      <c r="F39" s="115" t="s">
        <v>25</v>
      </c>
      <c r="G39" s="115" t="s">
        <v>25</v>
      </c>
      <c r="H39" s="115" t="s">
        <v>72</v>
      </c>
      <c r="I39" s="115" t="s">
        <v>25</v>
      </c>
      <c r="J39" s="115">
        <v>525.76</v>
      </c>
      <c r="K39" s="115">
        <v>170.32</v>
      </c>
      <c r="L39" s="115">
        <v>0</v>
      </c>
      <c r="M39" s="115">
        <v>1.4285336184552899</v>
      </c>
      <c r="N39" s="115">
        <v>0</v>
      </c>
      <c r="O39" s="115">
        <v>0</v>
      </c>
      <c r="P39" s="115">
        <v>0</v>
      </c>
      <c r="Q39" s="115">
        <v>83.438065709737103</v>
      </c>
      <c r="R39" s="115">
        <v>13.1751531634703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106.865411863924</v>
      </c>
      <c r="Y39" s="115">
        <v>0</v>
      </c>
      <c r="Z39" s="115">
        <v>0</v>
      </c>
      <c r="AA39" s="115">
        <v>319.13007685164001</v>
      </c>
      <c r="AB39" s="115">
        <v>0</v>
      </c>
      <c r="AC39" s="115">
        <v>0</v>
      </c>
      <c r="AD39" s="115">
        <v>0</v>
      </c>
      <c r="AE39" s="115">
        <v>1.6552297117475601</v>
      </c>
      <c r="AF39" s="115">
        <v>6.6891587365996902E-2</v>
      </c>
      <c r="AG39" s="115">
        <v>0</v>
      </c>
      <c r="AH39" s="115">
        <v>0</v>
      </c>
      <c r="AI39" s="115">
        <v>0</v>
      </c>
      <c r="AJ39" s="115">
        <v>-12.738260892763799</v>
      </c>
      <c r="AK39" s="115">
        <v>0</v>
      </c>
      <c r="AL39" s="115">
        <v>26.870729655798598</v>
      </c>
      <c r="AM39" s="115">
        <v>0</v>
      </c>
      <c r="AN39" s="115">
        <v>150.12026658325701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6.0667005046440003</v>
      </c>
    </row>
    <row r="40" spans="2:46" ht="12" customHeight="1" x14ac:dyDescent="0.3">
      <c r="B40" s="114" t="s">
        <v>42</v>
      </c>
      <c r="C40" s="115" t="s">
        <v>88</v>
      </c>
      <c r="D40" s="115" t="s">
        <v>43</v>
      </c>
      <c r="E40" s="115" t="s">
        <v>89</v>
      </c>
      <c r="F40" s="115" t="s">
        <v>25</v>
      </c>
      <c r="G40" s="115" t="s">
        <v>25</v>
      </c>
      <c r="H40" s="115" t="s">
        <v>72</v>
      </c>
      <c r="I40" s="115" t="s">
        <v>25</v>
      </c>
      <c r="J40" s="115">
        <v>537.19000000000005</v>
      </c>
      <c r="K40" s="115">
        <v>174.02</v>
      </c>
      <c r="L40" s="115">
        <v>0</v>
      </c>
      <c r="M40" s="115">
        <v>1.4595886971173599</v>
      </c>
      <c r="N40" s="115">
        <v>0</v>
      </c>
      <c r="O40" s="115">
        <v>0</v>
      </c>
      <c r="P40" s="115">
        <v>0</v>
      </c>
      <c r="Q40" s="115">
        <v>85.251936703427106</v>
      </c>
      <c r="R40" s="115">
        <v>13.461569536589201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109.188572991401</v>
      </c>
      <c r="Y40" s="115">
        <v>0</v>
      </c>
      <c r="Z40" s="115">
        <v>0</v>
      </c>
      <c r="AA40" s="115">
        <v>326.06768721797999</v>
      </c>
      <c r="AB40" s="115">
        <v>0</v>
      </c>
      <c r="AC40" s="115">
        <v>0</v>
      </c>
      <c r="AD40" s="115">
        <v>0</v>
      </c>
      <c r="AE40" s="115">
        <v>1.69121296635076</v>
      </c>
      <c r="AF40" s="115">
        <v>6.8345752308735894E-2</v>
      </c>
      <c r="AG40" s="115">
        <v>0</v>
      </c>
      <c r="AH40" s="115">
        <v>0</v>
      </c>
      <c r="AI40" s="115">
        <v>0</v>
      </c>
      <c r="AJ40" s="115">
        <v>-13.015179607823899</v>
      </c>
      <c r="AK40" s="115">
        <v>0</v>
      </c>
      <c r="AL40" s="115">
        <v>27.454875952663802</v>
      </c>
      <c r="AM40" s="115">
        <v>0</v>
      </c>
      <c r="AN40" s="115">
        <v>153.38375063941399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6.1985852982232199</v>
      </c>
    </row>
    <row r="41" spans="2:46" ht="12" customHeight="1" x14ac:dyDescent="0.3">
      <c r="B41" s="114" t="s">
        <v>42</v>
      </c>
      <c r="C41" s="115" t="s">
        <v>88</v>
      </c>
      <c r="D41" s="115" t="s">
        <v>43</v>
      </c>
      <c r="E41" s="115" t="s">
        <v>25</v>
      </c>
      <c r="F41" s="115" t="s">
        <v>25</v>
      </c>
      <c r="G41" s="115" t="s">
        <v>25</v>
      </c>
      <c r="H41" s="115" t="s">
        <v>72</v>
      </c>
      <c r="I41" s="115" t="s">
        <v>25</v>
      </c>
      <c r="J41" s="115">
        <v>537.19000000000005</v>
      </c>
      <c r="K41" s="115">
        <v>174.02</v>
      </c>
      <c r="L41" s="115">
        <v>0</v>
      </c>
      <c r="M41" s="115">
        <v>1.4595886971173599</v>
      </c>
      <c r="N41" s="115">
        <v>0</v>
      </c>
      <c r="O41" s="115">
        <v>0</v>
      </c>
      <c r="P41" s="115">
        <v>0</v>
      </c>
      <c r="Q41" s="115">
        <v>85.251936703427106</v>
      </c>
      <c r="R41" s="115">
        <v>13.461569536589201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109.188572991401</v>
      </c>
      <c r="Y41" s="115">
        <v>0</v>
      </c>
      <c r="Z41" s="115">
        <v>0</v>
      </c>
      <c r="AA41" s="115">
        <v>326.06768721797999</v>
      </c>
      <c r="AB41" s="115">
        <v>0</v>
      </c>
      <c r="AC41" s="115">
        <v>0</v>
      </c>
      <c r="AD41" s="115">
        <v>0</v>
      </c>
      <c r="AE41" s="115">
        <v>1.69121296635076</v>
      </c>
      <c r="AF41" s="115">
        <v>6.8345752308735894E-2</v>
      </c>
      <c r="AG41" s="115">
        <v>0</v>
      </c>
      <c r="AH41" s="115">
        <v>0</v>
      </c>
      <c r="AI41" s="115">
        <v>0</v>
      </c>
      <c r="AJ41" s="115">
        <v>-13.015179607823899</v>
      </c>
      <c r="AK41" s="115">
        <v>0</v>
      </c>
      <c r="AL41" s="115">
        <v>27.454875952663802</v>
      </c>
      <c r="AM41" s="115">
        <v>0</v>
      </c>
      <c r="AN41" s="115">
        <v>153.38375063941399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6.1985852982232199</v>
      </c>
    </row>
    <row r="42" spans="2:46" ht="12" customHeight="1" x14ac:dyDescent="0.3">
      <c r="B42" s="114" t="s">
        <v>42</v>
      </c>
      <c r="C42" s="115" t="s">
        <v>88</v>
      </c>
      <c r="D42" s="115" t="s">
        <v>43</v>
      </c>
      <c r="E42" s="115" t="s">
        <v>90</v>
      </c>
      <c r="F42" s="115" t="s">
        <v>25</v>
      </c>
      <c r="G42" s="115" t="s">
        <v>25</v>
      </c>
      <c r="H42" s="115" t="s">
        <v>72</v>
      </c>
      <c r="I42" s="115" t="s">
        <v>25</v>
      </c>
      <c r="J42" s="115">
        <v>525.76</v>
      </c>
      <c r="K42" s="115">
        <v>170.32</v>
      </c>
      <c r="L42" s="115">
        <v>0</v>
      </c>
      <c r="M42" s="115">
        <v>1.4285336184552899</v>
      </c>
      <c r="N42" s="115">
        <v>0</v>
      </c>
      <c r="O42" s="115">
        <v>0</v>
      </c>
      <c r="P42" s="115">
        <v>0</v>
      </c>
      <c r="Q42" s="115">
        <v>83.438065709737103</v>
      </c>
      <c r="R42" s="115">
        <v>13.1751531634703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106.865411863924</v>
      </c>
      <c r="Y42" s="115">
        <v>0</v>
      </c>
      <c r="Z42" s="115">
        <v>0</v>
      </c>
      <c r="AA42" s="115">
        <v>319.13007685164001</v>
      </c>
      <c r="AB42" s="115">
        <v>0</v>
      </c>
      <c r="AC42" s="115">
        <v>0</v>
      </c>
      <c r="AD42" s="115">
        <v>0</v>
      </c>
      <c r="AE42" s="115">
        <v>1.6552297117475601</v>
      </c>
      <c r="AF42" s="115">
        <v>6.6891587365996902E-2</v>
      </c>
      <c r="AG42" s="115">
        <v>0</v>
      </c>
      <c r="AH42" s="115">
        <v>0</v>
      </c>
      <c r="AI42" s="115">
        <v>0</v>
      </c>
      <c r="AJ42" s="115">
        <v>-12.738260892763799</v>
      </c>
      <c r="AK42" s="115">
        <v>0</v>
      </c>
      <c r="AL42" s="115">
        <v>26.870729655798598</v>
      </c>
      <c r="AM42" s="115">
        <v>0</v>
      </c>
      <c r="AN42" s="115">
        <v>150.12026658325701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6.0667005046440003</v>
      </c>
    </row>
    <row r="43" spans="2:46" ht="12" customHeight="1" x14ac:dyDescent="0.3">
      <c r="B43" s="114" t="s">
        <v>33</v>
      </c>
      <c r="C43" s="115" t="s">
        <v>40</v>
      </c>
      <c r="D43" s="115" t="s">
        <v>25</v>
      </c>
      <c r="E43" s="115" t="s">
        <v>25</v>
      </c>
      <c r="F43" s="115" t="s">
        <v>25</v>
      </c>
      <c r="G43" s="115" t="s">
        <v>37</v>
      </c>
      <c r="H43" s="115" t="s">
        <v>72</v>
      </c>
      <c r="I43" s="115" t="s">
        <v>25</v>
      </c>
      <c r="J43" s="115">
        <v>1706.02</v>
      </c>
      <c r="K43" s="115">
        <v>185.13</v>
      </c>
      <c r="L43" s="115">
        <v>0</v>
      </c>
      <c r="M43" s="115">
        <v>1.55275393310358</v>
      </c>
      <c r="N43" s="115">
        <v>0</v>
      </c>
      <c r="O43" s="115">
        <v>0</v>
      </c>
      <c r="P43" s="115">
        <v>0</v>
      </c>
      <c r="Q43" s="115">
        <v>90.693549684496901</v>
      </c>
      <c r="R43" s="115">
        <v>14.320818655946001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400.84540966757498</v>
      </c>
      <c r="Y43" s="115">
        <v>0</v>
      </c>
      <c r="Z43" s="115">
        <v>0</v>
      </c>
      <c r="AA43" s="115">
        <v>1196.7373422621399</v>
      </c>
      <c r="AB43" s="115">
        <v>0</v>
      </c>
      <c r="AC43" s="115">
        <v>0</v>
      </c>
      <c r="AD43" s="115">
        <v>0</v>
      </c>
      <c r="AE43" s="115">
        <v>1.7991627301603901</v>
      </c>
      <c r="AF43" s="115">
        <v>7.2708247136953105E-2</v>
      </c>
      <c r="AG43" s="115">
        <v>0</v>
      </c>
      <c r="AH43" s="115">
        <v>0</v>
      </c>
      <c r="AI43" s="115">
        <v>0</v>
      </c>
      <c r="AJ43" s="115">
        <v>-13.8459357530042</v>
      </c>
      <c r="AK43" s="115">
        <v>0</v>
      </c>
      <c r="AL43" s="115">
        <v>29.2073148432594</v>
      </c>
      <c r="AM43" s="115">
        <v>0</v>
      </c>
      <c r="AN43" s="115">
        <v>163.17420280788801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6.5942396789608697</v>
      </c>
    </row>
    <row r="44" spans="2:46" ht="12" customHeight="1" x14ac:dyDescent="0.3">
      <c r="B44" s="114" t="s">
        <v>33</v>
      </c>
      <c r="C44" s="115" t="s">
        <v>40</v>
      </c>
      <c r="D44" s="115" t="s">
        <v>25</v>
      </c>
      <c r="E44" s="115" t="s">
        <v>25</v>
      </c>
      <c r="F44" s="115" t="s">
        <v>25</v>
      </c>
      <c r="G44" s="115" t="s">
        <v>41</v>
      </c>
      <c r="H44" s="115" t="s">
        <v>72</v>
      </c>
      <c r="I44" s="115" t="s">
        <v>25</v>
      </c>
      <c r="J44" s="115">
        <v>1066.94</v>
      </c>
      <c r="K44" s="115">
        <v>185.13</v>
      </c>
      <c r="L44" s="115">
        <v>0</v>
      </c>
      <c r="M44" s="115">
        <v>1.55275393310358</v>
      </c>
      <c r="N44" s="115">
        <v>0</v>
      </c>
      <c r="O44" s="115">
        <v>0</v>
      </c>
      <c r="P44" s="115">
        <v>0</v>
      </c>
      <c r="Q44" s="115">
        <v>90.693549684496901</v>
      </c>
      <c r="R44" s="115">
        <v>14.320818655946001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240.46136292869599</v>
      </c>
      <c r="Y44" s="115">
        <v>0</v>
      </c>
      <c r="Z44" s="115">
        <v>0</v>
      </c>
      <c r="AA44" s="115">
        <v>718.04235047340399</v>
      </c>
      <c r="AB44" s="115">
        <v>0</v>
      </c>
      <c r="AC44" s="115">
        <v>0</v>
      </c>
      <c r="AD44" s="115">
        <v>0</v>
      </c>
      <c r="AE44" s="115">
        <v>1.7991627301603901</v>
      </c>
      <c r="AF44" s="115">
        <v>7.2708247136953105E-2</v>
      </c>
      <c r="AG44" s="115">
        <v>0</v>
      </c>
      <c r="AH44" s="115">
        <v>0</v>
      </c>
      <c r="AI44" s="115">
        <v>0</v>
      </c>
      <c r="AJ44" s="115">
        <v>-13.8459357530042</v>
      </c>
      <c r="AK44" s="115">
        <v>0</v>
      </c>
      <c r="AL44" s="115">
        <v>29.2073148432594</v>
      </c>
      <c r="AM44" s="115">
        <v>0</v>
      </c>
      <c r="AN44" s="115">
        <v>163.17420280788801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6.5942396789608697</v>
      </c>
    </row>
    <row r="45" spans="2:46" ht="12" customHeight="1" x14ac:dyDescent="0.3">
      <c r="B45" s="114" t="s">
        <v>33</v>
      </c>
      <c r="C45" s="115" t="s">
        <v>40</v>
      </c>
      <c r="D45" s="115" t="s">
        <v>25</v>
      </c>
      <c r="E45" s="115" t="s">
        <v>25</v>
      </c>
      <c r="F45" s="115" t="s">
        <v>25</v>
      </c>
      <c r="G45" s="115" t="s">
        <v>38</v>
      </c>
      <c r="H45" s="115" t="s">
        <v>72</v>
      </c>
      <c r="I45" s="115" t="s">
        <v>25</v>
      </c>
      <c r="J45" s="115">
        <v>427.92</v>
      </c>
      <c r="K45" s="115">
        <v>185.13</v>
      </c>
      <c r="L45" s="115">
        <v>0</v>
      </c>
      <c r="M45" s="115">
        <v>1.55275393310358</v>
      </c>
      <c r="N45" s="115">
        <v>0</v>
      </c>
      <c r="O45" s="115">
        <v>0</v>
      </c>
      <c r="P45" s="115">
        <v>0</v>
      </c>
      <c r="Q45" s="115">
        <v>90.693549684496901</v>
      </c>
      <c r="R45" s="115">
        <v>14.320818655946001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80.134669779628595</v>
      </c>
      <c r="Y45" s="115">
        <v>0</v>
      </c>
      <c r="Z45" s="115">
        <v>0</v>
      </c>
      <c r="AA45" s="115">
        <v>239.34777031375901</v>
      </c>
      <c r="AB45" s="115">
        <v>0</v>
      </c>
      <c r="AC45" s="115">
        <v>0</v>
      </c>
      <c r="AD45" s="115">
        <v>0</v>
      </c>
      <c r="AE45" s="115">
        <v>1.7991627301603901</v>
      </c>
      <c r="AF45" s="115">
        <v>7.2708247136953105E-2</v>
      </c>
      <c r="AG45" s="115">
        <v>0</v>
      </c>
      <c r="AH45" s="115">
        <v>0</v>
      </c>
      <c r="AI45" s="115">
        <v>0</v>
      </c>
      <c r="AJ45" s="115">
        <v>-13.8459357530042</v>
      </c>
      <c r="AK45" s="115">
        <v>0</v>
      </c>
      <c r="AL45" s="115">
        <v>29.2073148432594</v>
      </c>
      <c r="AM45" s="115">
        <v>0</v>
      </c>
      <c r="AN45" s="115">
        <v>163.17420280788801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6.5942396789608697</v>
      </c>
    </row>
    <row r="46" spans="2:46" ht="12" customHeight="1" x14ac:dyDescent="0.3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72</v>
      </c>
      <c r="I46" s="115" t="s">
        <v>25</v>
      </c>
      <c r="J46" s="115">
        <v>571.48</v>
      </c>
      <c r="K46" s="115">
        <v>185.13</v>
      </c>
      <c r="L46" s="115">
        <v>0</v>
      </c>
      <c r="M46" s="115">
        <v>1.55275393310358</v>
      </c>
      <c r="N46" s="115">
        <v>0</v>
      </c>
      <c r="O46" s="115">
        <v>0</v>
      </c>
      <c r="P46" s="115">
        <v>0</v>
      </c>
      <c r="Q46" s="115">
        <v>90.693549684496901</v>
      </c>
      <c r="R46" s="115">
        <v>14.320818655946001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116.15805637382999</v>
      </c>
      <c r="Y46" s="115">
        <v>0</v>
      </c>
      <c r="Z46" s="115">
        <v>0</v>
      </c>
      <c r="AA46" s="115">
        <v>346.880518317</v>
      </c>
      <c r="AB46" s="115">
        <v>0</v>
      </c>
      <c r="AC46" s="115">
        <v>0</v>
      </c>
      <c r="AD46" s="115">
        <v>0</v>
      </c>
      <c r="AE46" s="115">
        <v>1.7991627301603901</v>
      </c>
      <c r="AF46" s="115">
        <v>7.2708247136953105E-2</v>
      </c>
      <c r="AG46" s="115">
        <v>0</v>
      </c>
      <c r="AH46" s="115">
        <v>0</v>
      </c>
      <c r="AI46" s="115">
        <v>0</v>
      </c>
      <c r="AJ46" s="115">
        <v>-13.8459357530042</v>
      </c>
      <c r="AK46" s="115">
        <v>0</v>
      </c>
      <c r="AL46" s="115">
        <v>29.2073148432594</v>
      </c>
      <c r="AM46" s="115">
        <v>0</v>
      </c>
      <c r="AN46" s="115">
        <v>163.17420280788801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6.5942396789608697</v>
      </c>
    </row>
    <row r="47" spans="2:46" ht="12" customHeight="1" x14ac:dyDescent="0.3">
      <c r="B47" s="114" t="s">
        <v>33</v>
      </c>
      <c r="C47" s="115" t="s">
        <v>88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72</v>
      </c>
      <c r="I47" s="115" t="s">
        <v>25</v>
      </c>
      <c r="J47" s="115">
        <v>571.48</v>
      </c>
      <c r="K47" s="115">
        <v>185.13</v>
      </c>
      <c r="L47" s="115">
        <v>0</v>
      </c>
      <c r="M47" s="115">
        <v>1.55275393310358</v>
      </c>
      <c r="N47" s="115">
        <v>0</v>
      </c>
      <c r="O47" s="115">
        <v>0</v>
      </c>
      <c r="P47" s="115">
        <v>0</v>
      </c>
      <c r="Q47" s="115">
        <v>90.693549684496901</v>
      </c>
      <c r="R47" s="115">
        <v>14.320818655946001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116.15805637382999</v>
      </c>
      <c r="Y47" s="115">
        <v>0</v>
      </c>
      <c r="Z47" s="115">
        <v>0</v>
      </c>
      <c r="AA47" s="115">
        <v>346.880518317</v>
      </c>
      <c r="AB47" s="115">
        <v>0</v>
      </c>
      <c r="AC47" s="115">
        <v>0</v>
      </c>
      <c r="AD47" s="115">
        <v>0</v>
      </c>
      <c r="AE47" s="115">
        <v>1.7991627301603901</v>
      </c>
      <c r="AF47" s="115">
        <v>7.2708247136953105E-2</v>
      </c>
      <c r="AG47" s="115">
        <v>0</v>
      </c>
      <c r="AH47" s="115">
        <v>0</v>
      </c>
      <c r="AI47" s="115">
        <v>0</v>
      </c>
      <c r="AJ47" s="115">
        <v>-13.8459357530042</v>
      </c>
      <c r="AK47" s="115">
        <v>0</v>
      </c>
      <c r="AL47" s="115">
        <v>29.2073148432594</v>
      </c>
      <c r="AM47" s="115">
        <v>0</v>
      </c>
      <c r="AN47" s="115">
        <v>163.17420280788801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6.5942396789608697</v>
      </c>
    </row>
    <row r="48" spans="2:46" ht="12" customHeight="1" x14ac:dyDescent="0.3">
      <c r="B48" s="114" t="s">
        <v>45</v>
      </c>
      <c r="C48" s="115" t="s">
        <v>23</v>
      </c>
      <c r="D48" s="115" t="s">
        <v>46</v>
      </c>
      <c r="E48" s="115" t="s">
        <v>47</v>
      </c>
      <c r="F48" s="115" t="s">
        <v>25</v>
      </c>
      <c r="G48" s="115" t="s">
        <v>25</v>
      </c>
      <c r="H48" s="115" t="s">
        <v>72</v>
      </c>
      <c r="I48" s="115" t="s">
        <v>25</v>
      </c>
      <c r="J48" s="115">
        <v>314.31</v>
      </c>
      <c r="K48" s="115">
        <v>101.82</v>
      </c>
      <c r="L48" s="115">
        <v>0</v>
      </c>
      <c r="M48" s="115">
        <v>0.85401466320696695</v>
      </c>
      <c r="N48" s="115">
        <v>0</v>
      </c>
      <c r="O48" s="115">
        <v>0</v>
      </c>
      <c r="P48" s="115">
        <v>0</v>
      </c>
      <c r="Q48" s="115">
        <v>49.881452326473301</v>
      </c>
      <c r="R48" s="115">
        <v>7.8764502607702997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63.886931005606698</v>
      </c>
      <c r="Y48" s="115">
        <v>0</v>
      </c>
      <c r="Z48" s="115">
        <v>0</v>
      </c>
      <c r="AA48" s="115">
        <v>190.78428507435001</v>
      </c>
      <c r="AB48" s="115">
        <v>0</v>
      </c>
      <c r="AC48" s="115">
        <v>0</v>
      </c>
      <c r="AD48" s="115">
        <v>0</v>
      </c>
      <c r="AE48" s="115">
        <v>0.98953950158821302</v>
      </c>
      <c r="AF48" s="115">
        <v>3.9989535925324199E-2</v>
      </c>
      <c r="AG48" s="115">
        <v>0</v>
      </c>
      <c r="AH48" s="115">
        <v>0</v>
      </c>
      <c r="AI48" s="115">
        <v>0</v>
      </c>
      <c r="AJ48" s="115">
        <v>-7.6152646641522797</v>
      </c>
      <c r="AK48" s="115">
        <v>0</v>
      </c>
      <c r="AL48" s="115">
        <v>16.064023163792701</v>
      </c>
      <c r="AM48" s="115">
        <v>0</v>
      </c>
      <c r="AN48" s="115">
        <v>89.745811544338196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3.6268318234284802</v>
      </c>
    </row>
    <row r="49" spans="2:46" ht="12" customHeight="1" x14ac:dyDescent="0.3">
      <c r="B49" s="117" t="s">
        <v>45</v>
      </c>
      <c r="C49" s="118" t="s">
        <v>23</v>
      </c>
      <c r="D49" s="118" t="s">
        <v>46</v>
      </c>
      <c r="E49" s="118" t="s">
        <v>91</v>
      </c>
      <c r="F49" s="118" t="s">
        <v>25</v>
      </c>
      <c r="G49" s="118" t="s">
        <v>25</v>
      </c>
      <c r="H49" s="118" t="s">
        <v>72</v>
      </c>
      <c r="I49" s="118" t="s">
        <v>25</v>
      </c>
      <c r="J49" s="118">
        <v>342.89</v>
      </c>
      <c r="K49" s="118">
        <v>111.08</v>
      </c>
      <c r="L49" s="118">
        <v>0</v>
      </c>
      <c r="M49" s="118">
        <v>0.93165235986214501</v>
      </c>
      <c r="N49" s="118">
        <v>0</v>
      </c>
      <c r="O49" s="118">
        <v>0</v>
      </c>
      <c r="P49" s="118">
        <v>0</v>
      </c>
      <c r="Q49" s="118">
        <v>54.416129810698102</v>
      </c>
      <c r="R49" s="118">
        <v>8.5924911935676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69.6948338242982</v>
      </c>
      <c r="Y49" s="118">
        <v>0</v>
      </c>
      <c r="Z49" s="118">
        <v>0</v>
      </c>
      <c r="AA49" s="118">
        <v>208.12831099019999</v>
      </c>
      <c r="AB49" s="118">
        <v>0</v>
      </c>
      <c r="AC49" s="118">
        <v>0</v>
      </c>
      <c r="AD49" s="118">
        <v>0</v>
      </c>
      <c r="AE49" s="118">
        <v>1.07949763809623</v>
      </c>
      <c r="AF49" s="118">
        <v>4.3624948282171901E-2</v>
      </c>
      <c r="AG49" s="118">
        <v>0</v>
      </c>
      <c r="AH49" s="118">
        <v>0</v>
      </c>
      <c r="AI49" s="118">
        <v>0</v>
      </c>
      <c r="AJ49" s="118">
        <v>-8.3075614518024903</v>
      </c>
      <c r="AK49" s="118">
        <v>0</v>
      </c>
      <c r="AL49" s="118">
        <v>17.5243889059556</v>
      </c>
      <c r="AM49" s="118">
        <v>0</v>
      </c>
      <c r="AN49" s="118">
        <v>97.904521684732501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3.9565438073765198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0F61-028C-4BDB-9060-43D64CB50FB7}">
  <dimension ref="B1:AT49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0.88671875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20" t="s">
        <v>1099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  <c r="AH1" s="120"/>
      <c r="AI1" s="120"/>
      <c r="AJ1" s="120"/>
      <c r="AK1" s="120"/>
      <c r="AL1" s="120"/>
      <c r="AM1" s="120"/>
      <c r="AN1" s="120"/>
      <c r="AO1" s="120"/>
      <c r="AP1" s="120"/>
      <c r="AQ1" s="120"/>
      <c r="AR1" s="120"/>
      <c r="AS1" s="120"/>
      <c r="AT1" s="120"/>
    </row>
    <row r="2" spans="2:46" ht="12" customHeight="1" x14ac:dyDescent="0.3">
      <c r="L2" s="121" t="s">
        <v>424</v>
      </c>
      <c r="M2" s="121"/>
      <c r="N2" s="121"/>
      <c r="O2" s="121"/>
      <c r="P2" s="121"/>
      <c r="Q2" s="121"/>
      <c r="R2" s="121"/>
      <c r="S2" s="122"/>
      <c r="T2" s="121" t="s">
        <v>433</v>
      </c>
      <c r="U2" s="121"/>
      <c r="V2" s="121"/>
      <c r="W2" s="121"/>
      <c r="X2" s="121"/>
      <c r="Y2" s="121"/>
      <c r="Z2" s="122"/>
      <c r="AA2" s="123" t="s">
        <v>441</v>
      </c>
      <c r="AB2" s="121" t="s">
        <v>25</v>
      </c>
      <c r="AC2" s="121"/>
      <c r="AD2" s="122"/>
      <c r="AE2" s="121" t="s">
        <v>1098</v>
      </c>
      <c r="AF2" s="121"/>
      <c r="AG2" s="121"/>
      <c r="AH2" s="122"/>
      <c r="AI2" s="121" t="s">
        <v>424</v>
      </c>
      <c r="AJ2" s="121"/>
      <c r="AK2" s="121"/>
      <c r="AL2" s="121"/>
      <c r="AM2" s="122"/>
      <c r="AN2" s="123" t="s">
        <v>455</v>
      </c>
      <c r="AO2" s="121" t="s">
        <v>433</v>
      </c>
      <c r="AP2" s="121"/>
      <c r="AQ2" s="121"/>
      <c r="AR2" s="121"/>
      <c r="AS2" s="122"/>
      <c r="AT2" s="124" t="s">
        <v>1098</v>
      </c>
    </row>
    <row r="3" spans="2:46" ht="12" customHeight="1" x14ac:dyDescent="0.3">
      <c r="B3" s="111" t="s">
        <v>62</v>
      </c>
      <c r="C3" s="112" t="s">
        <v>63</v>
      </c>
      <c r="D3" s="112" t="s">
        <v>64</v>
      </c>
      <c r="E3" s="112" t="s">
        <v>65</v>
      </c>
      <c r="F3" s="112" t="s">
        <v>66</v>
      </c>
      <c r="G3" s="112" t="s">
        <v>68</v>
      </c>
      <c r="H3" s="112" t="s">
        <v>69</v>
      </c>
      <c r="I3" s="112" t="s">
        <v>701</v>
      </c>
      <c r="J3" s="112" t="s">
        <v>1060</v>
      </c>
      <c r="K3" s="112" t="s">
        <v>1061</v>
      </c>
      <c r="L3" s="112" t="s">
        <v>1062</v>
      </c>
      <c r="M3" s="112" t="s">
        <v>1063</v>
      </c>
      <c r="N3" s="112" t="s">
        <v>1064</v>
      </c>
      <c r="O3" s="112" t="s">
        <v>1065</v>
      </c>
      <c r="P3" s="112" t="s">
        <v>1066</v>
      </c>
      <c r="Q3" s="112" t="s">
        <v>1067</v>
      </c>
      <c r="R3" s="112" t="s">
        <v>1068</v>
      </c>
      <c r="S3" s="112" t="s">
        <v>1069</v>
      </c>
      <c r="T3" s="112" t="s">
        <v>1070</v>
      </c>
      <c r="U3" s="112" t="s">
        <v>1071</v>
      </c>
      <c r="V3" s="112" t="s">
        <v>1072</v>
      </c>
      <c r="W3" s="112" t="s">
        <v>1073</v>
      </c>
      <c r="X3" s="112" t="s">
        <v>1074</v>
      </c>
      <c r="Y3" s="112" t="s">
        <v>1075</v>
      </c>
      <c r="Z3" s="112" t="s">
        <v>1076</v>
      </c>
      <c r="AA3" s="112" t="s">
        <v>1077</v>
      </c>
      <c r="AB3" s="112" t="s">
        <v>1078</v>
      </c>
      <c r="AC3" s="112" t="s">
        <v>1079</v>
      </c>
      <c r="AD3" s="112" t="s">
        <v>1080</v>
      </c>
      <c r="AE3" s="112" t="s">
        <v>1081</v>
      </c>
      <c r="AF3" s="112" t="s">
        <v>1082</v>
      </c>
      <c r="AG3" s="112" t="s">
        <v>1083</v>
      </c>
      <c r="AH3" s="112" t="s">
        <v>1084</v>
      </c>
      <c r="AI3" s="112" t="s">
        <v>1085</v>
      </c>
      <c r="AJ3" s="112" t="s">
        <v>1086</v>
      </c>
      <c r="AK3" s="112" t="s">
        <v>1087</v>
      </c>
      <c r="AL3" s="112" t="s">
        <v>1088</v>
      </c>
      <c r="AM3" s="112" t="s">
        <v>1089</v>
      </c>
      <c r="AN3" s="112" t="s">
        <v>1090</v>
      </c>
      <c r="AO3" s="112" t="s">
        <v>1091</v>
      </c>
      <c r="AP3" s="112" t="s">
        <v>1092</v>
      </c>
      <c r="AQ3" s="112" t="s">
        <v>1093</v>
      </c>
      <c r="AR3" s="112" t="s">
        <v>1094</v>
      </c>
      <c r="AS3" s="112" t="s">
        <v>1095</v>
      </c>
      <c r="AT3" s="113" t="s">
        <v>1096</v>
      </c>
    </row>
    <row r="4" spans="2:46" ht="12" customHeight="1" x14ac:dyDescent="0.3">
      <c r="B4" s="114" t="s">
        <v>35</v>
      </c>
      <c r="C4" s="115" t="s">
        <v>75</v>
      </c>
      <c r="D4" s="115" t="s">
        <v>25</v>
      </c>
      <c r="E4" s="115" t="s">
        <v>25</v>
      </c>
      <c r="F4" s="115" t="s">
        <v>80</v>
      </c>
      <c r="G4" s="115" t="s">
        <v>37</v>
      </c>
      <c r="H4" s="115" t="s">
        <v>72</v>
      </c>
      <c r="I4" s="115" t="s">
        <v>25</v>
      </c>
      <c r="J4" s="115">
        <v>0</v>
      </c>
      <c r="K4" s="115">
        <v>0</v>
      </c>
      <c r="L4" s="115">
        <v>0</v>
      </c>
      <c r="M4" s="115">
        <v>0</v>
      </c>
      <c r="N4" s="115">
        <v>0</v>
      </c>
      <c r="O4" s="115">
        <v>0</v>
      </c>
      <c r="P4" s="115">
        <v>0</v>
      </c>
      <c r="Q4" s="115">
        <v>0</v>
      </c>
      <c r="R4" s="115">
        <v>0</v>
      </c>
      <c r="S4" s="115">
        <v>0</v>
      </c>
      <c r="T4" s="115">
        <v>0</v>
      </c>
      <c r="U4" s="115">
        <v>0</v>
      </c>
      <c r="V4" s="115">
        <v>0</v>
      </c>
      <c r="W4" s="115">
        <v>0</v>
      </c>
      <c r="X4" s="115">
        <v>0</v>
      </c>
      <c r="Y4" s="115">
        <v>0</v>
      </c>
      <c r="Z4" s="115">
        <v>0</v>
      </c>
      <c r="AA4" s="115">
        <v>0</v>
      </c>
      <c r="AB4" s="115">
        <v>0</v>
      </c>
      <c r="AC4" s="115">
        <v>0</v>
      </c>
      <c r="AD4" s="115">
        <v>0</v>
      </c>
      <c r="AE4" s="115">
        <v>0</v>
      </c>
      <c r="AF4" s="115">
        <v>0</v>
      </c>
      <c r="AG4" s="115">
        <v>0</v>
      </c>
      <c r="AH4" s="115">
        <v>0</v>
      </c>
      <c r="AI4" s="115">
        <v>0</v>
      </c>
      <c r="AJ4" s="115">
        <v>0</v>
      </c>
      <c r="AK4" s="115">
        <v>0</v>
      </c>
      <c r="AL4" s="115">
        <v>0</v>
      </c>
      <c r="AM4" s="115">
        <v>0</v>
      </c>
      <c r="AN4" s="115">
        <v>0</v>
      </c>
      <c r="AO4" s="115">
        <v>0</v>
      </c>
      <c r="AP4" s="115">
        <v>0</v>
      </c>
      <c r="AQ4" s="115">
        <v>0</v>
      </c>
      <c r="AR4" s="115">
        <v>0</v>
      </c>
      <c r="AS4" s="115">
        <v>0</v>
      </c>
      <c r="AT4" s="116">
        <v>0</v>
      </c>
    </row>
    <row r="5" spans="2:46" ht="12" customHeight="1" x14ac:dyDescent="0.3">
      <c r="B5" s="114" t="s">
        <v>35</v>
      </c>
      <c r="C5" s="115" t="s">
        <v>75</v>
      </c>
      <c r="D5" s="115" t="s">
        <v>25</v>
      </c>
      <c r="E5" s="115" t="s">
        <v>25</v>
      </c>
      <c r="F5" s="115" t="s">
        <v>80</v>
      </c>
      <c r="G5" s="115" t="s">
        <v>37</v>
      </c>
      <c r="H5" s="115" t="s">
        <v>76</v>
      </c>
      <c r="I5" s="115" t="s">
        <v>25</v>
      </c>
      <c r="J5" s="115">
        <v>0</v>
      </c>
      <c r="K5" s="115">
        <v>0</v>
      </c>
      <c r="L5" s="115">
        <v>0</v>
      </c>
      <c r="M5" s="115">
        <v>0</v>
      </c>
      <c r="N5" s="115">
        <v>0</v>
      </c>
      <c r="O5" s="115">
        <v>0</v>
      </c>
      <c r="P5" s="115">
        <v>0</v>
      </c>
      <c r="Q5" s="115">
        <v>0</v>
      </c>
      <c r="R5" s="115">
        <v>0</v>
      </c>
      <c r="S5" s="115">
        <v>0</v>
      </c>
      <c r="T5" s="115">
        <v>0</v>
      </c>
      <c r="U5" s="115">
        <v>0</v>
      </c>
      <c r="V5" s="115">
        <v>0</v>
      </c>
      <c r="W5" s="115">
        <v>0</v>
      </c>
      <c r="X5" s="115">
        <v>0</v>
      </c>
      <c r="Y5" s="115">
        <v>0</v>
      </c>
      <c r="Z5" s="115">
        <v>0</v>
      </c>
      <c r="AA5" s="115">
        <v>0</v>
      </c>
      <c r="AB5" s="115">
        <v>0</v>
      </c>
      <c r="AC5" s="115">
        <v>0</v>
      </c>
      <c r="AD5" s="115">
        <v>0</v>
      </c>
      <c r="AE5" s="115">
        <v>0</v>
      </c>
      <c r="AF5" s="115">
        <v>0</v>
      </c>
      <c r="AG5" s="115">
        <v>0</v>
      </c>
      <c r="AH5" s="115">
        <v>0</v>
      </c>
      <c r="AI5" s="115">
        <v>0</v>
      </c>
      <c r="AJ5" s="115">
        <v>0</v>
      </c>
      <c r="AK5" s="115">
        <v>0</v>
      </c>
      <c r="AL5" s="115">
        <v>0</v>
      </c>
      <c r="AM5" s="115">
        <v>0</v>
      </c>
      <c r="AN5" s="115">
        <v>0</v>
      </c>
      <c r="AO5" s="115">
        <v>0</v>
      </c>
      <c r="AP5" s="115">
        <v>0</v>
      </c>
      <c r="AQ5" s="115">
        <v>0</v>
      </c>
      <c r="AR5" s="115">
        <v>0</v>
      </c>
      <c r="AS5" s="115">
        <v>0</v>
      </c>
      <c r="AT5" s="116">
        <v>0</v>
      </c>
    </row>
    <row r="6" spans="2:46" ht="12" customHeight="1" x14ac:dyDescent="0.3">
      <c r="B6" s="114" t="s">
        <v>35</v>
      </c>
      <c r="C6" s="115" t="s">
        <v>75</v>
      </c>
      <c r="D6" s="115" t="s">
        <v>25</v>
      </c>
      <c r="E6" s="115" t="s">
        <v>25</v>
      </c>
      <c r="F6" s="115" t="s">
        <v>80</v>
      </c>
      <c r="G6" s="115" t="s">
        <v>38</v>
      </c>
      <c r="H6" s="115" t="s">
        <v>72</v>
      </c>
      <c r="I6" s="115" t="s">
        <v>25</v>
      </c>
      <c r="J6" s="115">
        <v>0</v>
      </c>
      <c r="K6" s="115">
        <v>0</v>
      </c>
      <c r="L6" s="115">
        <v>0</v>
      </c>
      <c r="M6" s="115">
        <v>0</v>
      </c>
      <c r="N6" s="115">
        <v>0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5">
        <v>0</v>
      </c>
      <c r="U6" s="115">
        <v>0</v>
      </c>
      <c r="V6" s="115">
        <v>0</v>
      </c>
      <c r="W6" s="115">
        <v>0</v>
      </c>
      <c r="X6" s="115">
        <v>0</v>
      </c>
      <c r="Y6" s="115">
        <v>0</v>
      </c>
      <c r="Z6" s="115">
        <v>0</v>
      </c>
      <c r="AA6" s="115">
        <v>0</v>
      </c>
      <c r="AB6" s="115">
        <v>0</v>
      </c>
      <c r="AC6" s="115">
        <v>0</v>
      </c>
      <c r="AD6" s="115">
        <v>0</v>
      </c>
      <c r="AE6" s="115">
        <v>0</v>
      </c>
      <c r="AF6" s="115">
        <v>0</v>
      </c>
      <c r="AG6" s="115">
        <v>0</v>
      </c>
      <c r="AH6" s="115">
        <v>0</v>
      </c>
      <c r="AI6" s="115">
        <v>0</v>
      </c>
      <c r="AJ6" s="115">
        <v>0</v>
      </c>
      <c r="AK6" s="115">
        <v>0</v>
      </c>
      <c r="AL6" s="115">
        <v>0</v>
      </c>
      <c r="AM6" s="115">
        <v>0</v>
      </c>
      <c r="AN6" s="115">
        <v>0</v>
      </c>
      <c r="AO6" s="115">
        <v>0</v>
      </c>
      <c r="AP6" s="115">
        <v>0</v>
      </c>
      <c r="AQ6" s="115">
        <v>0</v>
      </c>
      <c r="AR6" s="115">
        <v>0</v>
      </c>
      <c r="AS6" s="115">
        <v>0</v>
      </c>
      <c r="AT6" s="116">
        <v>0</v>
      </c>
    </row>
    <row r="7" spans="2:46" ht="12" customHeight="1" x14ac:dyDescent="0.3">
      <c r="B7" s="114" t="s">
        <v>35</v>
      </c>
      <c r="C7" s="115" t="s">
        <v>75</v>
      </c>
      <c r="D7" s="115" t="s">
        <v>25</v>
      </c>
      <c r="E7" s="115" t="s">
        <v>25</v>
      </c>
      <c r="F7" s="115" t="s">
        <v>80</v>
      </c>
      <c r="G7" s="115" t="s">
        <v>38</v>
      </c>
      <c r="H7" s="115" t="s">
        <v>76</v>
      </c>
      <c r="I7" s="115" t="s">
        <v>25</v>
      </c>
      <c r="J7" s="115">
        <v>0</v>
      </c>
      <c r="K7" s="115">
        <v>0</v>
      </c>
      <c r="L7" s="115">
        <v>0</v>
      </c>
      <c r="M7" s="115">
        <v>0</v>
      </c>
      <c r="N7" s="115">
        <v>0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5">
        <v>0</v>
      </c>
      <c r="U7" s="115">
        <v>0</v>
      </c>
      <c r="V7" s="115">
        <v>0</v>
      </c>
      <c r="W7" s="115">
        <v>0</v>
      </c>
      <c r="X7" s="115">
        <v>0</v>
      </c>
      <c r="Y7" s="115">
        <v>0</v>
      </c>
      <c r="Z7" s="115">
        <v>0</v>
      </c>
      <c r="AA7" s="115">
        <v>0</v>
      </c>
      <c r="AB7" s="115">
        <v>0</v>
      </c>
      <c r="AC7" s="115">
        <v>0</v>
      </c>
      <c r="AD7" s="115">
        <v>0</v>
      </c>
      <c r="AE7" s="115">
        <v>0</v>
      </c>
      <c r="AF7" s="115">
        <v>0</v>
      </c>
      <c r="AG7" s="115">
        <v>0</v>
      </c>
      <c r="AH7" s="115">
        <v>0</v>
      </c>
      <c r="AI7" s="115">
        <v>0</v>
      </c>
      <c r="AJ7" s="115">
        <v>0</v>
      </c>
      <c r="AK7" s="115">
        <v>0</v>
      </c>
      <c r="AL7" s="115">
        <v>0</v>
      </c>
      <c r="AM7" s="115">
        <v>0</v>
      </c>
      <c r="AN7" s="115">
        <v>0</v>
      </c>
      <c r="AO7" s="115">
        <v>0</v>
      </c>
      <c r="AP7" s="115">
        <v>0</v>
      </c>
      <c r="AQ7" s="115">
        <v>0</v>
      </c>
      <c r="AR7" s="115">
        <v>0</v>
      </c>
      <c r="AS7" s="115">
        <v>0</v>
      </c>
      <c r="AT7" s="116">
        <v>0</v>
      </c>
    </row>
    <row r="8" spans="2:46" ht="12" customHeight="1" x14ac:dyDescent="0.3">
      <c r="B8" s="114" t="s">
        <v>35</v>
      </c>
      <c r="C8" s="115" t="s">
        <v>75</v>
      </c>
      <c r="D8" s="115" t="s">
        <v>25</v>
      </c>
      <c r="E8" s="115" t="s">
        <v>25</v>
      </c>
      <c r="F8" s="115" t="s">
        <v>25</v>
      </c>
      <c r="G8" s="115" t="s">
        <v>37</v>
      </c>
      <c r="H8" s="115" t="s">
        <v>72</v>
      </c>
      <c r="I8" s="115" t="s">
        <v>25</v>
      </c>
      <c r="J8" s="115">
        <v>0</v>
      </c>
      <c r="K8" s="115">
        <v>0</v>
      </c>
      <c r="L8" s="115">
        <v>0</v>
      </c>
      <c r="M8" s="115">
        <v>0</v>
      </c>
      <c r="N8" s="115">
        <v>0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5">
        <v>0</v>
      </c>
      <c r="U8" s="115">
        <v>0</v>
      </c>
      <c r="V8" s="115">
        <v>0</v>
      </c>
      <c r="W8" s="115">
        <v>0</v>
      </c>
      <c r="X8" s="115">
        <v>0</v>
      </c>
      <c r="Y8" s="115">
        <v>0</v>
      </c>
      <c r="Z8" s="115">
        <v>0</v>
      </c>
      <c r="AA8" s="115">
        <v>0</v>
      </c>
      <c r="AB8" s="115">
        <v>0</v>
      </c>
      <c r="AC8" s="115">
        <v>0</v>
      </c>
      <c r="AD8" s="115">
        <v>0</v>
      </c>
      <c r="AE8" s="115">
        <v>0</v>
      </c>
      <c r="AF8" s="115">
        <v>0</v>
      </c>
      <c r="AG8" s="115">
        <v>0</v>
      </c>
      <c r="AH8" s="115">
        <v>0</v>
      </c>
      <c r="AI8" s="115">
        <v>0</v>
      </c>
      <c r="AJ8" s="115">
        <v>0</v>
      </c>
      <c r="AK8" s="115">
        <v>0</v>
      </c>
      <c r="AL8" s="115">
        <v>0</v>
      </c>
      <c r="AM8" s="115">
        <v>0</v>
      </c>
      <c r="AN8" s="115">
        <v>0</v>
      </c>
      <c r="AO8" s="115">
        <v>0</v>
      </c>
      <c r="AP8" s="115">
        <v>0</v>
      </c>
      <c r="AQ8" s="115">
        <v>0</v>
      </c>
      <c r="AR8" s="115">
        <v>0</v>
      </c>
      <c r="AS8" s="115">
        <v>0</v>
      </c>
      <c r="AT8" s="116">
        <v>0</v>
      </c>
    </row>
    <row r="9" spans="2:46" ht="12" customHeight="1" x14ac:dyDescent="0.3">
      <c r="B9" s="114" t="s">
        <v>35</v>
      </c>
      <c r="C9" s="115" t="s">
        <v>75</v>
      </c>
      <c r="D9" s="115" t="s">
        <v>25</v>
      </c>
      <c r="E9" s="115" t="s">
        <v>25</v>
      </c>
      <c r="F9" s="115" t="s">
        <v>25</v>
      </c>
      <c r="G9" s="115" t="s">
        <v>37</v>
      </c>
      <c r="H9" s="115" t="s">
        <v>76</v>
      </c>
      <c r="I9" s="115" t="s">
        <v>25</v>
      </c>
      <c r="J9" s="115">
        <v>0</v>
      </c>
      <c r="K9" s="115">
        <v>0</v>
      </c>
      <c r="L9" s="115">
        <v>0</v>
      </c>
      <c r="M9" s="115">
        <v>0</v>
      </c>
      <c r="N9" s="115">
        <v>0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5">
        <v>0</v>
      </c>
      <c r="U9" s="115">
        <v>0</v>
      </c>
      <c r="V9" s="115">
        <v>0</v>
      </c>
      <c r="W9" s="115">
        <v>0</v>
      </c>
      <c r="X9" s="115">
        <v>0</v>
      </c>
      <c r="Y9" s="115">
        <v>0</v>
      </c>
      <c r="Z9" s="115">
        <v>0</v>
      </c>
      <c r="AA9" s="115">
        <v>0</v>
      </c>
      <c r="AB9" s="115">
        <v>0</v>
      </c>
      <c r="AC9" s="115">
        <v>0</v>
      </c>
      <c r="AD9" s="115">
        <v>0</v>
      </c>
      <c r="AE9" s="115">
        <v>0</v>
      </c>
      <c r="AF9" s="115">
        <v>0</v>
      </c>
      <c r="AG9" s="115">
        <v>0</v>
      </c>
      <c r="AH9" s="115">
        <v>0</v>
      </c>
      <c r="AI9" s="115">
        <v>0</v>
      </c>
      <c r="AJ9" s="115">
        <v>0</v>
      </c>
      <c r="AK9" s="115">
        <v>0</v>
      </c>
      <c r="AL9" s="115">
        <v>0</v>
      </c>
      <c r="AM9" s="115">
        <v>0</v>
      </c>
      <c r="AN9" s="115">
        <v>0</v>
      </c>
      <c r="AO9" s="115">
        <v>0</v>
      </c>
      <c r="AP9" s="115">
        <v>0</v>
      </c>
      <c r="AQ9" s="115">
        <v>0</v>
      </c>
      <c r="AR9" s="115">
        <v>0</v>
      </c>
      <c r="AS9" s="115">
        <v>0</v>
      </c>
      <c r="AT9" s="116">
        <v>0</v>
      </c>
    </row>
    <row r="10" spans="2:46" ht="12" customHeight="1" x14ac:dyDescent="0.3">
      <c r="B10" s="114" t="s">
        <v>35</v>
      </c>
      <c r="C10" s="115" t="s">
        <v>75</v>
      </c>
      <c r="D10" s="115" t="s">
        <v>25</v>
      </c>
      <c r="E10" s="115" t="s">
        <v>25</v>
      </c>
      <c r="F10" s="115" t="s">
        <v>25</v>
      </c>
      <c r="G10" s="115" t="s">
        <v>38</v>
      </c>
      <c r="H10" s="115" t="s">
        <v>72</v>
      </c>
      <c r="I10" s="115" t="s">
        <v>25</v>
      </c>
      <c r="J10" s="115">
        <v>0</v>
      </c>
      <c r="K10" s="115">
        <v>0</v>
      </c>
      <c r="L10" s="115">
        <v>0</v>
      </c>
      <c r="M10" s="115">
        <v>0</v>
      </c>
      <c r="N10" s="115">
        <v>0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5">
        <v>0</v>
      </c>
      <c r="U10" s="115">
        <v>0</v>
      </c>
      <c r="V10" s="115">
        <v>0</v>
      </c>
      <c r="W10" s="115">
        <v>0</v>
      </c>
      <c r="X10" s="115">
        <v>0</v>
      </c>
      <c r="Y10" s="115">
        <v>0</v>
      </c>
      <c r="Z10" s="115">
        <v>0</v>
      </c>
      <c r="AA10" s="115">
        <v>0</v>
      </c>
      <c r="AB10" s="115">
        <v>0</v>
      </c>
      <c r="AC10" s="115">
        <v>0</v>
      </c>
      <c r="AD10" s="115">
        <v>0</v>
      </c>
      <c r="AE10" s="115">
        <v>0</v>
      </c>
      <c r="AF10" s="115">
        <v>0</v>
      </c>
      <c r="AG10" s="115">
        <v>0</v>
      </c>
      <c r="AH10" s="115">
        <v>0</v>
      </c>
      <c r="AI10" s="115">
        <v>0</v>
      </c>
      <c r="AJ10" s="115">
        <v>0</v>
      </c>
      <c r="AK10" s="115">
        <v>0</v>
      </c>
      <c r="AL10" s="115">
        <v>0</v>
      </c>
      <c r="AM10" s="115">
        <v>0</v>
      </c>
      <c r="AN10" s="115">
        <v>0</v>
      </c>
      <c r="AO10" s="115">
        <v>0</v>
      </c>
      <c r="AP10" s="115">
        <v>0</v>
      </c>
      <c r="AQ10" s="115">
        <v>0</v>
      </c>
      <c r="AR10" s="115">
        <v>0</v>
      </c>
      <c r="AS10" s="115">
        <v>0</v>
      </c>
      <c r="AT10" s="116">
        <v>0</v>
      </c>
    </row>
    <row r="11" spans="2:46" ht="12" customHeight="1" x14ac:dyDescent="0.3">
      <c r="B11" s="114" t="s">
        <v>35</v>
      </c>
      <c r="C11" s="115" t="s">
        <v>75</v>
      </c>
      <c r="D11" s="115" t="s">
        <v>25</v>
      </c>
      <c r="E11" s="115" t="s">
        <v>25</v>
      </c>
      <c r="F11" s="115" t="s">
        <v>25</v>
      </c>
      <c r="G11" s="115" t="s">
        <v>38</v>
      </c>
      <c r="H11" s="115" t="s">
        <v>76</v>
      </c>
      <c r="I11" s="115" t="s">
        <v>25</v>
      </c>
      <c r="J11" s="115">
        <v>0</v>
      </c>
      <c r="K11" s="115">
        <v>0</v>
      </c>
      <c r="L11" s="115">
        <v>0</v>
      </c>
      <c r="M11" s="115">
        <v>0</v>
      </c>
      <c r="N11" s="115">
        <v>0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5">
        <v>0</v>
      </c>
      <c r="U11" s="115">
        <v>0</v>
      </c>
      <c r="V11" s="115">
        <v>0</v>
      </c>
      <c r="W11" s="115">
        <v>0</v>
      </c>
      <c r="X11" s="115">
        <v>0</v>
      </c>
      <c r="Y11" s="115">
        <v>0</v>
      </c>
      <c r="Z11" s="115">
        <v>0</v>
      </c>
      <c r="AA11" s="115">
        <v>0</v>
      </c>
      <c r="AB11" s="115">
        <v>0</v>
      </c>
      <c r="AC11" s="115">
        <v>0</v>
      </c>
      <c r="AD11" s="115">
        <v>0</v>
      </c>
      <c r="AE11" s="115">
        <v>0</v>
      </c>
      <c r="AF11" s="115">
        <v>0</v>
      </c>
      <c r="AG11" s="115">
        <v>0</v>
      </c>
      <c r="AH11" s="115">
        <v>0</v>
      </c>
      <c r="AI11" s="115">
        <v>0</v>
      </c>
      <c r="AJ11" s="115">
        <v>0</v>
      </c>
      <c r="AK11" s="115">
        <v>0</v>
      </c>
      <c r="AL11" s="115">
        <v>0</v>
      </c>
      <c r="AM11" s="115">
        <v>0</v>
      </c>
      <c r="AN11" s="115">
        <v>0</v>
      </c>
      <c r="AO11" s="115">
        <v>0</v>
      </c>
      <c r="AP11" s="115">
        <v>0</v>
      </c>
      <c r="AQ11" s="115">
        <v>0</v>
      </c>
      <c r="AR11" s="115">
        <v>0</v>
      </c>
      <c r="AS11" s="115">
        <v>0</v>
      </c>
      <c r="AT11" s="116">
        <v>0</v>
      </c>
    </row>
    <row r="12" spans="2:46" ht="12" customHeight="1" x14ac:dyDescent="0.3">
      <c r="B12" s="114" t="s">
        <v>35</v>
      </c>
      <c r="C12" s="115" t="s">
        <v>81</v>
      </c>
      <c r="D12" s="115" t="s">
        <v>25</v>
      </c>
      <c r="E12" s="115" t="s">
        <v>25</v>
      </c>
      <c r="F12" s="115" t="s">
        <v>25</v>
      </c>
      <c r="G12" s="115" t="s">
        <v>25</v>
      </c>
      <c r="H12" s="115" t="s">
        <v>76</v>
      </c>
      <c r="I12" s="115" t="s">
        <v>25</v>
      </c>
      <c r="J12" s="115">
        <v>0</v>
      </c>
      <c r="K12" s="115">
        <v>0</v>
      </c>
      <c r="L12" s="115">
        <v>0</v>
      </c>
      <c r="M12" s="115">
        <v>0</v>
      </c>
      <c r="N12" s="115">
        <v>0</v>
      </c>
      <c r="O12" s="115">
        <v>0</v>
      </c>
      <c r="P12" s="115">
        <v>0</v>
      </c>
      <c r="Q12" s="115">
        <v>0</v>
      </c>
      <c r="R12" s="115">
        <v>0</v>
      </c>
      <c r="S12" s="115">
        <v>0</v>
      </c>
      <c r="T12" s="115">
        <v>0</v>
      </c>
      <c r="U12" s="115">
        <v>0</v>
      </c>
      <c r="V12" s="115">
        <v>0</v>
      </c>
      <c r="W12" s="115">
        <v>0</v>
      </c>
      <c r="X12" s="115">
        <v>0</v>
      </c>
      <c r="Y12" s="115">
        <v>0</v>
      </c>
      <c r="Z12" s="115">
        <v>0</v>
      </c>
      <c r="AA12" s="115">
        <v>0</v>
      </c>
      <c r="AB12" s="115">
        <v>0</v>
      </c>
      <c r="AC12" s="115">
        <v>0</v>
      </c>
      <c r="AD12" s="115">
        <v>0</v>
      </c>
      <c r="AE12" s="115">
        <v>0</v>
      </c>
      <c r="AF12" s="115">
        <v>0</v>
      </c>
      <c r="AG12" s="115">
        <v>0</v>
      </c>
      <c r="AH12" s="115">
        <v>0</v>
      </c>
      <c r="AI12" s="115">
        <v>0</v>
      </c>
      <c r="AJ12" s="115">
        <v>0</v>
      </c>
      <c r="AK12" s="115">
        <v>0</v>
      </c>
      <c r="AL12" s="115">
        <v>0</v>
      </c>
      <c r="AM12" s="115">
        <v>0</v>
      </c>
      <c r="AN12" s="115">
        <v>0</v>
      </c>
      <c r="AO12" s="115">
        <v>0</v>
      </c>
      <c r="AP12" s="115">
        <v>0</v>
      </c>
      <c r="AQ12" s="115">
        <v>0</v>
      </c>
      <c r="AR12" s="115">
        <v>0</v>
      </c>
      <c r="AS12" s="115">
        <v>0</v>
      </c>
      <c r="AT12" s="116">
        <v>0</v>
      </c>
    </row>
    <row r="13" spans="2:46" ht="12" customHeight="1" x14ac:dyDescent="0.3">
      <c r="B13" s="114" t="s">
        <v>35</v>
      </c>
      <c r="C13" s="115" t="s">
        <v>36</v>
      </c>
      <c r="D13" s="115" t="s">
        <v>25</v>
      </c>
      <c r="E13" s="115" t="s">
        <v>25</v>
      </c>
      <c r="F13" s="115" t="s">
        <v>80</v>
      </c>
      <c r="G13" s="115" t="s">
        <v>37</v>
      </c>
      <c r="H13" s="115" t="s">
        <v>72</v>
      </c>
      <c r="I13" s="115" t="s">
        <v>25</v>
      </c>
      <c r="J13" s="115">
        <v>0</v>
      </c>
      <c r="K13" s="115">
        <v>0</v>
      </c>
      <c r="L13" s="115">
        <v>0</v>
      </c>
      <c r="M13" s="115">
        <v>0</v>
      </c>
      <c r="N13" s="115">
        <v>0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5">
        <v>0</v>
      </c>
      <c r="U13" s="115">
        <v>0</v>
      </c>
      <c r="V13" s="115">
        <v>0</v>
      </c>
      <c r="W13" s="115">
        <v>0</v>
      </c>
      <c r="X13" s="115">
        <v>0</v>
      </c>
      <c r="Y13" s="115">
        <v>0</v>
      </c>
      <c r="Z13" s="115">
        <v>0</v>
      </c>
      <c r="AA13" s="115">
        <v>0</v>
      </c>
      <c r="AB13" s="115">
        <v>0</v>
      </c>
      <c r="AC13" s="115">
        <v>0</v>
      </c>
      <c r="AD13" s="115">
        <v>0</v>
      </c>
      <c r="AE13" s="115">
        <v>0</v>
      </c>
      <c r="AF13" s="115">
        <v>0</v>
      </c>
      <c r="AG13" s="115">
        <v>0</v>
      </c>
      <c r="AH13" s="115">
        <v>0</v>
      </c>
      <c r="AI13" s="115">
        <v>0</v>
      </c>
      <c r="AJ13" s="115">
        <v>0</v>
      </c>
      <c r="AK13" s="115">
        <v>0</v>
      </c>
      <c r="AL13" s="115">
        <v>0</v>
      </c>
      <c r="AM13" s="115">
        <v>0</v>
      </c>
      <c r="AN13" s="115">
        <v>0</v>
      </c>
      <c r="AO13" s="115">
        <v>0</v>
      </c>
      <c r="AP13" s="115">
        <v>0</v>
      </c>
      <c r="AQ13" s="115">
        <v>0</v>
      </c>
      <c r="AR13" s="115">
        <v>0</v>
      </c>
      <c r="AS13" s="115">
        <v>0</v>
      </c>
      <c r="AT13" s="116">
        <v>0</v>
      </c>
    </row>
    <row r="14" spans="2:46" ht="12" customHeight="1" x14ac:dyDescent="0.3">
      <c r="B14" s="114" t="s">
        <v>35</v>
      </c>
      <c r="C14" s="115" t="s">
        <v>36</v>
      </c>
      <c r="D14" s="115" t="s">
        <v>25</v>
      </c>
      <c r="E14" s="115" t="s">
        <v>25</v>
      </c>
      <c r="F14" s="115" t="s">
        <v>80</v>
      </c>
      <c r="G14" s="115" t="s">
        <v>25</v>
      </c>
      <c r="H14" s="115" t="s">
        <v>76</v>
      </c>
      <c r="I14" s="115" t="s">
        <v>25</v>
      </c>
      <c r="J14" s="115">
        <v>0</v>
      </c>
      <c r="K14" s="115">
        <v>0</v>
      </c>
      <c r="L14" s="115">
        <v>0</v>
      </c>
      <c r="M14" s="115">
        <v>0</v>
      </c>
      <c r="N14" s="115">
        <v>0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5">
        <v>0</v>
      </c>
      <c r="U14" s="115">
        <v>0</v>
      </c>
      <c r="V14" s="115">
        <v>0</v>
      </c>
      <c r="W14" s="115">
        <v>0</v>
      </c>
      <c r="X14" s="115">
        <v>0</v>
      </c>
      <c r="Y14" s="115">
        <v>0</v>
      </c>
      <c r="Z14" s="115">
        <v>0</v>
      </c>
      <c r="AA14" s="115">
        <v>0</v>
      </c>
      <c r="AB14" s="115">
        <v>0</v>
      </c>
      <c r="AC14" s="115">
        <v>0</v>
      </c>
      <c r="AD14" s="115">
        <v>0</v>
      </c>
      <c r="AE14" s="115">
        <v>0</v>
      </c>
      <c r="AF14" s="115">
        <v>0</v>
      </c>
      <c r="AG14" s="115">
        <v>0</v>
      </c>
      <c r="AH14" s="115">
        <v>0</v>
      </c>
      <c r="AI14" s="115">
        <v>0</v>
      </c>
      <c r="AJ14" s="115">
        <v>0</v>
      </c>
      <c r="AK14" s="115">
        <v>0</v>
      </c>
      <c r="AL14" s="115">
        <v>0</v>
      </c>
      <c r="AM14" s="115">
        <v>0</v>
      </c>
      <c r="AN14" s="115">
        <v>0</v>
      </c>
      <c r="AO14" s="115">
        <v>0</v>
      </c>
      <c r="AP14" s="115">
        <v>0</v>
      </c>
      <c r="AQ14" s="115">
        <v>0</v>
      </c>
      <c r="AR14" s="115">
        <v>0</v>
      </c>
      <c r="AS14" s="115">
        <v>0</v>
      </c>
      <c r="AT14" s="116">
        <v>0</v>
      </c>
    </row>
    <row r="15" spans="2:46" ht="12" customHeight="1" x14ac:dyDescent="0.3">
      <c r="B15" s="114" t="s">
        <v>35</v>
      </c>
      <c r="C15" s="115" t="s">
        <v>36</v>
      </c>
      <c r="D15" s="115" t="s">
        <v>25</v>
      </c>
      <c r="E15" s="115" t="s">
        <v>25</v>
      </c>
      <c r="F15" s="115" t="s">
        <v>80</v>
      </c>
      <c r="G15" s="115" t="s">
        <v>38</v>
      </c>
      <c r="H15" s="115" t="s">
        <v>72</v>
      </c>
      <c r="I15" s="115" t="s">
        <v>25</v>
      </c>
      <c r="J15" s="115">
        <v>0</v>
      </c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</v>
      </c>
      <c r="Q15" s="115">
        <v>0</v>
      </c>
      <c r="R15" s="115">
        <v>0</v>
      </c>
      <c r="S15" s="115">
        <v>0</v>
      </c>
      <c r="T15" s="115">
        <v>0</v>
      </c>
      <c r="U15" s="115">
        <v>0</v>
      </c>
      <c r="V15" s="115">
        <v>0</v>
      </c>
      <c r="W15" s="115">
        <v>0</v>
      </c>
      <c r="X15" s="115">
        <v>0</v>
      </c>
      <c r="Y15" s="115">
        <v>0</v>
      </c>
      <c r="Z15" s="115">
        <v>0</v>
      </c>
      <c r="AA15" s="115">
        <v>0</v>
      </c>
      <c r="AB15" s="115">
        <v>0</v>
      </c>
      <c r="AC15" s="115">
        <v>0</v>
      </c>
      <c r="AD15" s="115">
        <v>0</v>
      </c>
      <c r="AE15" s="115">
        <v>0</v>
      </c>
      <c r="AF15" s="115">
        <v>0</v>
      </c>
      <c r="AG15" s="115">
        <v>0</v>
      </c>
      <c r="AH15" s="115">
        <v>0</v>
      </c>
      <c r="AI15" s="115">
        <v>0</v>
      </c>
      <c r="AJ15" s="115">
        <v>0</v>
      </c>
      <c r="AK15" s="115">
        <v>0</v>
      </c>
      <c r="AL15" s="115">
        <v>0</v>
      </c>
      <c r="AM15" s="115">
        <v>0</v>
      </c>
      <c r="AN15" s="115">
        <v>0</v>
      </c>
      <c r="AO15" s="115">
        <v>0</v>
      </c>
      <c r="AP15" s="115">
        <v>0</v>
      </c>
      <c r="AQ15" s="115">
        <v>0</v>
      </c>
      <c r="AR15" s="115">
        <v>0</v>
      </c>
      <c r="AS15" s="115">
        <v>0</v>
      </c>
      <c r="AT15" s="116">
        <v>0</v>
      </c>
    </row>
    <row r="16" spans="2:46" ht="12" customHeight="1" x14ac:dyDescent="0.3">
      <c r="B16" s="114" t="s">
        <v>35</v>
      </c>
      <c r="C16" s="115" t="s">
        <v>36</v>
      </c>
      <c r="D16" s="115" t="s">
        <v>25</v>
      </c>
      <c r="E16" s="115" t="s">
        <v>25</v>
      </c>
      <c r="F16" s="115" t="s">
        <v>25</v>
      </c>
      <c r="G16" s="115" t="s">
        <v>37</v>
      </c>
      <c r="H16" s="115" t="s">
        <v>72</v>
      </c>
      <c r="I16" s="115" t="s">
        <v>25</v>
      </c>
      <c r="J16" s="115">
        <v>0</v>
      </c>
      <c r="K16" s="115">
        <v>0</v>
      </c>
      <c r="L16" s="115">
        <v>0</v>
      </c>
      <c r="M16" s="115">
        <v>0</v>
      </c>
      <c r="N16" s="115">
        <v>0</v>
      </c>
      <c r="O16" s="115">
        <v>0</v>
      </c>
      <c r="P16" s="115">
        <v>0</v>
      </c>
      <c r="Q16" s="115">
        <v>0</v>
      </c>
      <c r="R16" s="115">
        <v>0</v>
      </c>
      <c r="S16" s="115">
        <v>0</v>
      </c>
      <c r="T16" s="115">
        <v>0</v>
      </c>
      <c r="U16" s="115">
        <v>0</v>
      </c>
      <c r="V16" s="115">
        <v>0</v>
      </c>
      <c r="W16" s="115">
        <v>0</v>
      </c>
      <c r="X16" s="115">
        <v>0</v>
      </c>
      <c r="Y16" s="115">
        <v>0</v>
      </c>
      <c r="Z16" s="115">
        <v>0</v>
      </c>
      <c r="AA16" s="115">
        <v>0</v>
      </c>
      <c r="AB16" s="115">
        <v>0</v>
      </c>
      <c r="AC16" s="115">
        <v>0</v>
      </c>
      <c r="AD16" s="115">
        <v>0</v>
      </c>
      <c r="AE16" s="115">
        <v>0</v>
      </c>
      <c r="AF16" s="115">
        <v>0</v>
      </c>
      <c r="AG16" s="115">
        <v>0</v>
      </c>
      <c r="AH16" s="115">
        <v>0</v>
      </c>
      <c r="AI16" s="115">
        <v>0</v>
      </c>
      <c r="AJ16" s="115">
        <v>0</v>
      </c>
      <c r="AK16" s="115">
        <v>0</v>
      </c>
      <c r="AL16" s="115">
        <v>0</v>
      </c>
      <c r="AM16" s="115">
        <v>0</v>
      </c>
      <c r="AN16" s="115">
        <v>0</v>
      </c>
      <c r="AO16" s="115">
        <v>0</v>
      </c>
      <c r="AP16" s="115">
        <v>0</v>
      </c>
      <c r="AQ16" s="115">
        <v>0</v>
      </c>
      <c r="AR16" s="115">
        <v>0</v>
      </c>
      <c r="AS16" s="115">
        <v>0</v>
      </c>
      <c r="AT16" s="116">
        <v>0</v>
      </c>
    </row>
    <row r="17" spans="2:46" ht="12" customHeight="1" x14ac:dyDescent="0.3">
      <c r="B17" s="114" t="s">
        <v>35</v>
      </c>
      <c r="C17" s="115" t="s">
        <v>36</v>
      </c>
      <c r="D17" s="115" t="s">
        <v>25</v>
      </c>
      <c r="E17" s="115" t="s">
        <v>25</v>
      </c>
      <c r="F17" s="115" t="s">
        <v>25</v>
      </c>
      <c r="G17" s="115" t="s">
        <v>25</v>
      </c>
      <c r="H17" s="115" t="s">
        <v>76</v>
      </c>
      <c r="I17" s="115" t="s">
        <v>25</v>
      </c>
      <c r="J17" s="115">
        <v>0</v>
      </c>
      <c r="K17" s="115">
        <v>0</v>
      </c>
      <c r="L17" s="115">
        <v>0</v>
      </c>
      <c r="M17" s="115">
        <v>0</v>
      </c>
      <c r="N17" s="115">
        <v>0</v>
      </c>
      <c r="O17" s="115">
        <v>0</v>
      </c>
      <c r="P17" s="115">
        <v>0</v>
      </c>
      <c r="Q17" s="115">
        <v>0</v>
      </c>
      <c r="R17" s="115">
        <v>0</v>
      </c>
      <c r="S17" s="115">
        <v>0</v>
      </c>
      <c r="T17" s="115">
        <v>0</v>
      </c>
      <c r="U17" s="115">
        <v>0</v>
      </c>
      <c r="V17" s="115">
        <v>0</v>
      </c>
      <c r="W17" s="115">
        <v>0</v>
      </c>
      <c r="X17" s="115">
        <v>0</v>
      </c>
      <c r="Y17" s="115">
        <v>0</v>
      </c>
      <c r="Z17" s="115">
        <v>0</v>
      </c>
      <c r="AA17" s="115">
        <v>0</v>
      </c>
      <c r="AB17" s="115">
        <v>0</v>
      </c>
      <c r="AC17" s="115">
        <v>0</v>
      </c>
      <c r="AD17" s="115">
        <v>0</v>
      </c>
      <c r="AE17" s="115">
        <v>0</v>
      </c>
      <c r="AF17" s="115">
        <v>0</v>
      </c>
      <c r="AG17" s="115">
        <v>0</v>
      </c>
      <c r="AH17" s="115">
        <v>0</v>
      </c>
      <c r="AI17" s="115">
        <v>0</v>
      </c>
      <c r="AJ17" s="115">
        <v>0</v>
      </c>
      <c r="AK17" s="115">
        <v>0</v>
      </c>
      <c r="AL17" s="115">
        <v>0</v>
      </c>
      <c r="AM17" s="115">
        <v>0</v>
      </c>
      <c r="AN17" s="115">
        <v>0</v>
      </c>
      <c r="AO17" s="115">
        <v>0</v>
      </c>
      <c r="AP17" s="115">
        <v>0</v>
      </c>
      <c r="AQ17" s="115">
        <v>0</v>
      </c>
      <c r="AR17" s="115">
        <v>0</v>
      </c>
      <c r="AS17" s="115">
        <v>0</v>
      </c>
      <c r="AT17" s="116">
        <v>0</v>
      </c>
    </row>
    <row r="18" spans="2:46" ht="12" customHeight="1" x14ac:dyDescent="0.3">
      <c r="B18" s="114" t="s">
        <v>35</v>
      </c>
      <c r="C18" s="115" t="s">
        <v>36</v>
      </c>
      <c r="D18" s="115" t="s">
        <v>25</v>
      </c>
      <c r="E18" s="115" t="s">
        <v>25</v>
      </c>
      <c r="F18" s="115" t="s">
        <v>25</v>
      </c>
      <c r="G18" s="115" t="s">
        <v>38</v>
      </c>
      <c r="H18" s="115" t="s">
        <v>72</v>
      </c>
      <c r="I18" s="115" t="s">
        <v>25</v>
      </c>
      <c r="J18" s="115">
        <v>0</v>
      </c>
      <c r="K18" s="115">
        <v>0</v>
      </c>
      <c r="L18" s="115">
        <v>0</v>
      </c>
      <c r="M18" s="115">
        <v>0</v>
      </c>
      <c r="N18" s="115">
        <v>0</v>
      </c>
      <c r="O18" s="115">
        <v>0</v>
      </c>
      <c r="P18" s="115">
        <v>0</v>
      </c>
      <c r="Q18" s="115">
        <v>0</v>
      </c>
      <c r="R18" s="115">
        <v>0</v>
      </c>
      <c r="S18" s="115">
        <v>0</v>
      </c>
      <c r="T18" s="115">
        <v>0</v>
      </c>
      <c r="U18" s="115">
        <v>0</v>
      </c>
      <c r="V18" s="115">
        <v>0</v>
      </c>
      <c r="W18" s="115">
        <v>0</v>
      </c>
      <c r="X18" s="115">
        <v>0</v>
      </c>
      <c r="Y18" s="115">
        <v>0</v>
      </c>
      <c r="Z18" s="115">
        <v>0</v>
      </c>
      <c r="AA18" s="115">
        <v>0</v>
      </c>
      <c r="AB18" s="115">
        <v>0</v>
      </c>
      <c r="AC18" s="115">
        <v>0</v>
      </c>
      <c r="AD18" s="115">
        <v>0</v>
      </c>
      <c r="AE18" s="115">
        <v>0</v>
      </c>
      <c r="AF18" s="115">
        <v>0</v>
      </c>
      <c r="AG18" s="115">
        <v>0</v>
      </c>
      <c r="AH18" s="115">
        <v>0</v>
      </c>
      <c r="AI18" s="115">
        <v>0</v>
      </c>
      <c r="AJ18" s="115">
        <v>0</v>
      </c>
      <c r="AK18" s="115">
        <v>0</v>
      </c>
      <c r="AL18" s="115">
        <v>0</v>
      </c>
      <c r="AM18" s="115">
        <v>0</v>
      </c>
      <c r="AN18" s="115">
        <v>0</v>
      </c>
      <c r="AO18" s="115">
        <v>0</v>
      </c>
      <c r="AP18" s="115">
        <v>0</v>
      </c>
      <c r="AQ18" s="115">
        <v>0</v>
      </c>
      <c r="AR18" s="115">
        <v>0</v>
      </c>
      <c r="AS18" s="115">
        <v>0</v>
      </c>
      <c r="AT18" s="116">
        <v>0</v>
      </c>
    </row>
    <row r="19" spans="2:46" ht="12" customHeight="1" x14ac:dyDescent="0.3">
      <c r="B19" s="114" t="s">
        <v>82</v>
      </c>
      <c r="C19" s="115" t="s">
        <v>81</v>
      </c>
      <c r="D19" s="115" t="s">
        <v>25</v>
      </c>
      <c r="E19" s="115" t="s">
        <v>25</v>
      </c>
      <c r="F19" s="115" t="s">
        <v>83</v>
      </c>
      <c r="G19" s="115" t="s">
        <v>25</v>
      </c>
      <c r="H19" s="115" t="s">
        <v>76</v>
      </c>
      <c r="I19" s="115" t="s">
        <v>25</v>
      </c>
      <c r="J19" s="115">
        <v>0</v>
      </c>
      <c r="K19" s="115">
        <v>0</v>
      </c>
      <c r="L19" s="115">
        <v>0</v>
      </c>
      <c r="M19" s="115">
        <v>0</v>
      </c>
      <c r="N19" s="115">
        <v>0</v>
      </c>
      <c r="O19" s="115">
        <v>0</v>
      </c>
      <c r="P19" s="115">
        <v>0</v>
      </c>
      <c r="Q19" s="115">
        <v>0</v>
      </c>
      <c r="R19" s="115">
        <v>0</v>
      </c>
      <c r="S19" s="115">
        <v>0</v>
      </c>
      <c r="T19" s="115">
        <v>0</v>
      </c>
      <c r="U19" s="115">
        <v>0</v>
      </c>
      <c r="V19" s="115">
        <v>0</v>
      </c>
      <c r="W19" s="115">
        <v>0</v>
      </c>
      <c r="X19" s="115">
        <v>0</v>
      </c>
      <c r="Y19" s="115">
        <v>0</v>
      </c>
      <c r="Z19" s="115">
        <v>0</v>
      </c>
      <c r="AA19" s="115">
        <v>0</v>
      </c>
      <c r="AB19" s="115">
        <v>0</v>
      </c>
      <c r="AC19" s="115">
        <v>0</v>
      </c>
      <c r="AD19" s="115">
        <v>0</v>
      </c>
      <c r="AE19" s="115">
        <v>0</v>
      </c>
      <c r="AF19" s="115">
        <v>0</v>
      </c>
      <c r="AG19" s="115">
        <v>0</v>
      </c>
      <c r="AH19" s="115">
        <v>0</v>
      </c>
      <c r="AI19" s="115">
        <v>0</v>
      </c>
      <c r="AJ19" s="115">
        <v>0</v>
      </c>
      <c r="AK19" s="115">
        <v>0</v>
      </c>
      <c r="AL19" s="115">
        <v>0</v>
      </c>
      <c r="AM19" s="115">
        <v>0</v>
      </c>
      <c r="AN19" s="115">
        <v>0</v>
      </c>
      <c r="AO19" s="115">
        <v>0</v>
      </c>
      <c r="AP19" s="115">
        <v>0</v>
      </c>
      <c r="AQ19" s="115">
        <v>0</v>
      </c>
      <c r="AR19" s="115">
        <v>0</v>
      </c>
      <c r="AS19" s="115">
        <v>0</v>
      </c>
      <c r="AT19" s="116">
        <v>0</v>
      </c>
    </row>
    <row r="20" spans="2:46" ht="12" customHeight="1" x14ac:dyDescent="0.3">
      <c r="B20" s="114" t="s">
        <v>82</v>
      </c>
      <c r="C20" s="115" t="s">
        <v>81</v>
      </c>
      <c r="D20" s="115" t="s">
        <v>25</v>
      </c>
      <c r="E20" s="115" t="s">
        <v>25</v>
      </c>
      <c r="F20" s="115" t="s">
        <v>84</v>
      </c>
      <c r="G20" s="115" t="s">
        <v>25</v>
      </c>
      <c r="H20" s="115" t="s">
        <v>76</v>
      </c>
      <c r="I20" s="115" t="s">
        <v>25</v>
      </c>
      <c r="J20" s="115">
        <v>0</v>
      </c>
      <c r="K20" s="115">
        <v>0</v>
      </c>
      <c r="L20" s="115">
        <v>0</v>
      </c>
      <c r="M20" s="115">
        <v>0</v>
      </c>
      <c r="N20" s="115">
        <v>0</v>
      </c>
      <c r="O20" s="115">
        <v>0</v>
      </c>
      <c r="P20" s="115">
        <v>0</v>
      </c>
      <c r="Q20" s="115">
        <v>0</v>
      </c>
      <c r="R20" s="115">
        <v>0</v>
      </c>
      <c r="S20" s="115">
        <v>0</v>
      </c>
      <c r="T20" s="115">
        <v>0</v>
      </c>
      <c r="U20" s="115">
        <v>0</v>
      </c>
      <c r="V20" s="115">
        <v>0</v>
      </c>
      <c r="W20" s="115">
        <v>0</v>
      </c>
      <c r="X20" s="115">
        <v>0</v>
      </c>
      <c r="Y20" s="115">
        <v>0</v>
      </c>
      <c r="Z20" s="115">
        <v>0</v>
      </c>
      <c r="AA20" s="115">
        <v>0</v>
      </c>
      <c r="AB20" s="115">
        <v>0</v>
      </c>
      <c r="AC20" s="115">
        <v>0</v>
      </c>
      <c r="AD20" s="115">
        <v>0</v>
      </c>
      <c r="AE20" s="115">
        <v>0</v>
      </c>
      <c r="AF20" s="115">
        <v>0</v>
      </c>
      <c r="AG20" s="115">
        <v>0</v>
      </c>
      <c r="AH20" s="115">
        <v>0</v>
      </c>
      <c r="AI20" s="115">
        <v>0</v>
      </c>
      <c r="AJ20" s="115">
        <v>0</v>
      </c>
      <c r="AK20" s="115">
        <v>0</v>
      </c>
      <c r="AL20" s="115">
        <v>0</v>
      </c>
      <c r="AM20" s="115">
        <v>0</v>
      </c>
      <c r="AN20" s="115">
        <v>0</v>
      </c>
      <c r="AO20" s="115">
        <v>0</v>
      </c>
      <c r="AP20" s="115">
        <v>0</v>
      </c>
      <c r="AQ20" s="115">
        <v>0</v>
      </c>
      <c r="AR20" s="115">
        <v>0</v>
      </c>
      <c r="AS20" s="115">
        <v>0</v>
      </c>
      <c r="AT20" s="116">
        <v>0</v>
      </c>
    </row>
    <row r="21" spans="2:46" ht="12" customHeight="1" x14ac:dyDescent="0.3">
      <c r="B21" s="114" t="s">
        <v>22</v>
      </c>
      <c r="C21" s="115" t="s">
        <v>40</v>
      </c>
      <c r="D21" s="115" t="s">
        <v>24</v>
      </c>
      <c r="E21" s="115" t="s">
        <v>24</v>
      </c>
      <c r="F21" s="115" t="s">
        <v>25</v>
      </c>
      <c r="G21" s="115" t="s">
        <v>37</v>
      </c>
      <c r="H21" s="115" t="s">
        <v>72</v>
      </c>
      <c r="I21" s="115" t="s">
        <v>25</v>
      </c>
      <c r="J21" s="115">
        <v>0</v>
      </c>
      <c r="K21" s="115">
        <v>0</v>
      </c>
      <c r="L21" s="115">
        <v>0</v>
      </c>
      <c r="M21" s="115">
        <v>0</v>
      </c>
      <c r="N21" s="115">
        <v>0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5">
        <v>0</v>
      </c>
      <c r="U21" s="115">
        <v>0</v>
      </c>
      <c r="V21" s="115">
        <v>0</v>
      </c>
      <c r="W21" s="115">
        <v>0</v>
      </c>
      <c r="X21" s="115">
        <v>0</v>
      </c>
      <c r="Y21" s="115">
        <v>0</v>
      </c>
      <c r="Z21" s="115">
        <v>0</v>
      </c>
      <c r="AA21" s="115">
        <v>0</v>
      </c>
      <c r="AB21" s="115">
        <v>0</v>
      </c>
      <c r="AC21" s="115">
        <v>0</v>
      </c>
      <c r="AD21" s="115">
        <v>0</v>
      </c>
      <c r="AE21" s="115">
        <v>0</v>
      </c>
      <c r="AF21" s="115">
        <v>0</v>
      </c>
      <c r="AG21" s="115">
        <v>0</v>
      </c>
      <c r="AH21" s="115">
        <v>0</v>
      </c>
      <c r="AI21" s="115">
        <v>0</v>
      </c>
      <c r="AJ21" s="115">
        <v>0</v>
      </c>
      <c r="AK21" s="115">
        <v>0</v>
      </c>
      <c r="AL21" s="115">
        <v>0</v>
      </c>
      <c r="AM21" s="115">
        <v>0</v>
      </c>
      <c r="AN21" s="115">
        <v>0</v>
      </c>
      <c r="AO21" s="115">
        <v>0</v>
      </c>
      <c r="AP21" s="115">
        <v>0</v>
      </c>
      <c r="AQ21" s="115">
        <v>0</v>
      </c>
      <c r="AR21" s="115">
        <v>0</v>
      </c>
      <c r="AS21" s="115">
        <v>0</v>
      </c>
      <c r="AT21" s="116">
        <v>0</v>
      </c>
    </row>
    <row r="22" spans="2:46" ht="12" customHeight="1" x14ac:dyDescent="0.3">
      <c r="B22" s="114" t="s">
        <v>22</v>
      </c>
      <c r="C22" s="115" t="s">
        <v>40</v>
      </c>
      <c r="D22" s="115" t="s">
        <v>24</v>
      </c>
      <c r="E22" s="115" t="s">
        <v>24</v>
      </c>
      <c r="F22" s="115" t="s">
        <v>25</v>
      </c>
      <c r="G22" s="115" t="s">
        <v>41</v>
      </c>
      <c r="H22" s="115" t="s">
        <v>72</v>
      </c>
      <c r="I22" s="115" t="s">
        <v>25</v>
      </c>
      <c r="J22" s="115">
        <v>0</v>
      </c>
      <c r="K22" s="115">
        <v>0</v>
      </c>
      <c r="L22" s="115">
        <v>0</v>
      </c>
      <c r="M22" s="115">
        <v>0</v>
      </c>
      <c r="N22" s="115">
        <v>0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5">
        <v>0</v>
      </c>
      <c r="U22" s="115">
        <v>0</v>
      </c>
      <c r="V22" s="115">
        <v>0</v>
      </c>
      <c r="W22" s="115">
        <v>0</v>
      </c>
      <c r="X22" s="115">
        <v>0</v>
      </c>
      <c r="Y22" s="115">
        <v>0</v>
      </c>
      <c r="Z22" s="115">
        <v>0</v>
      </c>
      <c r="AA22" s="115">
        <v>0</v>
      </c>
      <c r="AB22" s="115">
        <v>0</v>
      </c>
      <c r="AC22" s="115">
        <v>0</v>
      </c>
      <c r="AD22" s="115">
        <v>0</v>
      </c>
      <c r="AE22" s="115">
        <v>0</v>
      </c>
      <c r="AF22" s="115">
        <v>0</v>
      </c>
      <c r="AG22" s="115">
        <v>0</v>
      </c>
      <c r="AH22" s="115">
        <v>0</v>
      </c>
      <c r="AI22" s="115">
        <v>0</v>
      </c>
      <c r="AJ22" s="115">
        <v>0</v>
      </c>
      <c r="AK22" s="115">
        <v>0</v>
      </c>
      <c r="AL22" s="115">
        <v>0</v>
      </c>
      <c r="AM22" s="115">
        <v>0</v>
      </c>
      <c r="AN22" s="115">
        <v>0</v>
      </c>
      <c r="AO22" s="115">
        <v>0</v>
      </c>
      <c r="AP22" s="115">
        <v>0</v>
      </c>
      <c r="AQ22" s="115">
        <v>0</v>
      </c>
      <c r="AR22" s="115">
        <v>0</v>
      </c>
      <c r="AS22" s="115">
        <v>0</v>
      </c>
      <c r="AT22" s="116">
        <v>0</v>
      </c>
    </row>
    <row r="23" spans="2:46" ht="12" customHeight="1" x14ac:dyDescent="0.3">
      <c r="B23" s="114" t="s">
        <v>22</v>
      </c>
      <c r="C23" s="115" t="s">
        <v>40</v>
      </c>
      <c r="D23" s="115" t="s">
        <v>24</v>
      </c>
      <c r="E23" s="115" t="s">
        <v>24</v>
      </c>
      <c r="F23" s="115" t="s">
        <v>25</v>
      </c>
      <c r="G23" s="115" t="s">
        <v>38</v>
      </c>
      <c r="H23" s="115" t="s">
        <v>72</v>
      </c>
      <c r="I23" s="115" t="s">
        <v>25</v>
      </c>
      <c r="J23" s="115">
        <v>0</v>
      </c>
      <c r="K23" s="115">
        <v>0</v>
      </c>
      <c r="L23" s="115">
        <v>0</v>
      </c>
      <c r="M23" s="115">
        <v>0</v>
      </c>
      <c r="N23" s="115">
        <v>0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5">
        <v>0</v>
      </c>
      <c r="U23" s="115">
        <v>0</v>
      </c>
      <c r="V23" s="115">
        <v>0</v>
      </c>
      <c r="W23" s="115">
        <v>0</v>
      </c>
      <c r="X23" s="115">
        <v>0</v>
      </c>
      <c r="Y23" s="115">
        <v>0</v>
      </c>
      <c r="Z23" s="115">
        <v>0</v>
      </c>
      <c r="AA23" s="115">
        <v>0</v>
      </c>
      <c r="AB23" s="115">
        <v>0</v>
      </c>
      <c r="AC23" s="115">
        <v>0</v>
      </c>
      <c r="AD23" s="115">
        <v>0</v>
      </c>
      <c r="AE23" s="115">
        <v>0</v>
      </c>
      <c r="AF23" s="115">
        <v>0</v>
      </c>
      <c r="AG23" s="115">
        <v>0</v>
      </c>
      <c r="AH23" s="115">
        <v>0</v>
      </c>
      <c r="AI23" s="115">
        <v>0</v>
      </c>
      <c r="AJ23" s="115">
        <v>0</v>
      </c>
      <c r="AK23" s="115">
        <v>0</v>
      </c>
      <c r="AL23" s="115">
        <v>0</v>
      </c>
      <c r="AM23" s="115">
        <v>0</v>
      </c>
      <c r="AN23" s="115">
        <v>0</v>
      </c>
      <c r="AO23" s="115">
        <v>0</v>
      </c>
      <c r="AP23" s="115">
        <v>0</v>
      </c>
      <c r="AQ23" s="115">
        <v>0</v>
      </c>
      <c r="AR23" s="115">
        <v>0</v>
      </c>
      <c r="AS23" s="115">
        <v>0</v>
      </c>
      <c r="AT23" s="116">
        <v>0</v>
      </c>
    </row>
    <row r="24" spans="2:46" ht="12" customHeight="1" x14ac:dyDescent="0.3">
      <c r="B24" s="114" t="s">
        <v>22</v>
      </c>
      <c r="C24" s="115" t="s">
        <v>23</v>
      </c>
      <c r="D24" s="115" t="s">
        <v>24</v>
      </c>
      <c r="E24" s="115" t="s">
        <v>1097</v>
      </c>
      <c r="F24" s="115" t="s">
        <v>25</v>
      </c>
      <c r="G24" s="115" t="s">
        <v>25</v>
      </c>
      <c r="H24" s="115" t="s">
        <v>72</v>
      </c>
      <c r="I24" s="115" t="s">
        <v>25</v>
      </c>
      <c r="J24" s="115">
        <v>0</v>
      </c>
      <c r="K24" s="115">
        <v>0</v>
      </c>
      <c r="L24" s="115">
        <v>0</v>
      </c>
      <c r="M24" s="115">
        <v>0</v>
      </c>
      <c r="N24" s="115">
        <v>0</v>
      </c>
      <c r="O24" s="115">
        <v>0</v>
      </c>
      <c r="P24" s="115">
        <v>0</v>
      </c>
      <c r="Q24" s="115">
        <v>0</v>
      </c>
      <c r="R24" s="115">
        <v>0</v>
      </c>
      <c r="S24" s="115">
        <v>0</v>
      </c>
      <c r="T24" s="115">
        <v>0</v>
      </c>
      <c r="U24" s="115">
        <v>0</v>
      </c>
      <c r="V24" s="115">
        <v>0</v>
      </c>
      <c r="W24" s="115">
        <v>0</v>
      </c>
      <c r="X24" s="115">
        <v>0</v>
      </c>
      <c r="Y24" s="115">
        <v>0</v>
      </c>
      <c r="Z24" s="115">
        <v>0</v>
      </c>
      <c r="AA24" s="115">
        <v>0</v>
      </c>
      <c r="AB24" s="115">
        <v>0</v>
      </c>
      <c r="AC24" s="115">
        <v>0</v>
      </c>
      <c r="AD24" s="115">
        <v>0</v>
      </c>
      <c r="AE24" s="115">
        <v>0</v>
      </c>
      <c r="AF24" s="115">
        <v>0</v>
      </c>
      <c r="AG24" s="115">
        <v>0</v>
      </c>
      <c r="AH24" s="115">
        <v>0</v>
      </c>
      <c r="AI24" s="115">
        <v>0</v>
      </c>
      <c r="AJ24" s="115">
        <v>0</v>
      </c>
      <c r="AK24" s="115">
        <v>0</v>
      </c>
      <c r="AL24" s="115">
        <v>0</v>
      </c>
      <c r="AM24" s="115">
        <v>0</v>
      </c>
      <c r="AN24" s="115">
        <v>0</v>
      </c>
      <c r="AO24" s="115">
        <v>0</v>
      </c>
      <c r="AP24" s="115">
        <v>0</v>
      </c>
      <c r="AQ24" s="115">
        <v>0</v>
      </c>
      <c r="AR24" s="115">
        <v>0</v>
      </c>
      <c r="AS24" s="115">
        <v>0</v>
      </c>
      <c r="AT24" s="116">
        <v>0</v>
      </c>
    </row>
    <row r="25" spans="2:46" ht="12" customHeight="1" x14ac:dyDescent="0.3">
      <c r="B25" s="114" t="s">
        <v>22</v>
      </c>
      <c r="C25" s="115" t="s">
        <v>23</v>
      </c>
      <c r="D25" s="115" t="s">
        <v>24</v>
      </c>
      <c r="E25" s="115" t="s">
        <v>24</v>
      </c>
      <c r="F25" s="115" t="s">
        <v>25</v>
      </c>
      <c r="G25" s="115" t="s">
        <v>25</v>
      </c>
      <c r="H25" s="115" t="s">
        <v>72</v>
      </c>
      <c r="I25" s="115" t="s">
        <v>25</v>
      </c>
      <c r="J25" s="115">
        <v>0</v>
      </c>
      <c r="K25" s="115">
        <v>0</v>
      </c>
      <c r="L25" s="115">
        <v>0</v>
      </c>
      <c r="M25" s="115">
        <v>0</v>
      </c>
      <c r="N25" s="115">
        <v>0</v>
      </c>
      <c r="O25" s="115">
        <v>0</v>
      </c>
      <c r="P25" s="115">
        <v>0</v>
      </c>
      <c r="Q25" s="115">
        <v>0</v>
      </c>
      <c r="R25" s="115">
        <v>0</v>
      </c>
      <c r="S25" s="115">
        <v>0</v>
      </c>
      <c r="T25" s="115">
        <v>0</v>
      </c>
      <c r="U25" s="115">
        <v>0</v>
      </c>
      <c r="V25" s="115">
        <v>0</v>
      </c>
      <c r="W25" s="115">
        <v>0</v>
      </c>
      <c r="X25" s="115">
        <v>0</v>
      </c>
      <c r="Y25" s="115">
        <v>0</v>
      </c>
      <c r="Z25" s="115">
        <v>0</v>
      </c>
      <c r="AA25" s="115">
        <v>0</v>
      </c>
      <c r="AB25" s="115">
        <v>0</v>
      </c>
      <c r="AC25" s="115">
        <v>0</v>
      </c>
      <c r="AD25" s="115">
        <v>0</v>
      </c>
      <c r="AE25" s="115">
        <v>0</v>
      </c>
      <c r="AF25" s="115">
        <v>0</v>
      </c>
      <c r="AG25" s="115">
        <v>0</v>
      </c>
      <c r="AH25" s="115">
        <v>0</v>
      </c>
      <c r="AI25" s="115">
        <v>0</v>
      </c>
      <c r="AJ25" s="115">
        <v>0</v>
      </c>
      <c r="AK25" s="115">
        <v>0</v>
      </c>
      <c r="AL25" s="115">
        <v>0</v>
      </c>
      <c r="AM25" s="115">
        <v>0</v>
      </c>
      <c r="AN25" s="115">
        <v>0</v>
      </c>
      <c r="AO25" s="115">
        <v>0</v>
      </c>
      <c r="AP25" s="115">
        <v>0</v>
      </c>
      <c r="AQ25" s="115">
        <v>0</v>
      </c>
      <c r="AR25" s="115">
        <v>0</v>
      </c>
      <c r="AS25" s="115">
        <v>0</v>
      </c>
      <c r="AT25" s="116">
        <v>0</v>
      </c>
    </row>
    <row r="26" spans="2:46" ht="12" customHeight="1" x14ac:dyDescent="0.3">
      <c r="B26" s="114" t="s">
        <v>22</v>
      </c>
      <c r="C26" s="115" t="s">
        <v>88</v>
      </c>
      <c r="D26" s="115" t="s">
        <v>24</v>
      </c>
      <c r="E26" s="115" t="s">
        <v>1097</v>
      </c>
      <c r="F26" s="115" t="s">
        <v>25</v>
      </c>
      <c r="G26" s="115" t="s">
        <v>25</v>
      </c>
      <c r="H26" s="115" t="s">
        <v>72</v>
      </c>
      <c r="I26" s="115" t="s">
        <v>25</v>
      </c>
      <c r="J26" s="115">
        <v>0</v>
      </c>
      <c r="K26" s="115">
        <v>0</v>
      </c>
      <c r="L26" s="115">
        <v>0</v>
      </c>
      <c r="M26" s="115">
        <v>0</v>
      </c>
      <c r="N26" s="115">
        <v>0</v>
      </c>
      <c r="O26" s="115">
        <v>0</v>
      </c>
      <c r="P26" s="115">
        <v>0</v>
      </c>
      <c r="Q26" s="115">
        <v>0</v>
      </c>
      <c r="R26" s="115">
        <v>0</v>
      </c>
      <c r="S26" s="115">
        <v>0</v>
      </c>
      <c r="T26" s="115">
        <v>0</v>
      </c>
      <c r="U26" s="115">
        <v>0</v>
      </c>
      <c r="V26" s="115">
        <v>0</v>
      </c>
      <c r="W26" s="115">
        <v>0</v>
      </c>
      <c r="X26" s="115">
        <v>0</v>
      </c>
      <c r="Y26" s="115">
        <v>0</v>
      </c>
      <c r="Z26" s="115">
        <v>0</v>
      </c>
      <c r="AA26" s="115">
        <v>0</v>
      </c>
      <c r="AB26" s="115">
        <v>0</v>
      </c>
      <c r="AC26" s="115">
        <v>0</v>
      </c>
      <c r="AD26" s="115">
        <v>0</v>
      </c>
      <c r="AE26" s="115">
        <v>0</v>
      </c>
      <c r="AF26" s="115">
        <v>0</v>
      </c>
      <c r="AG26" s="115">
        <v>0</v>
      </c>
      <c r="AH26" s="115">
        <v>0</v>
      </c>
      <c r="AI26" s="115">
        <v>0</v>
      </c>
      <c r="AJ26" s="115">
        <v>0</v>
      </c>
      <c r="AK26" s="115">
        <v>0</v>
      </c>
      <c r="AL26" s="115">
        <v>0</v>
      </c>
      <c r="AM26" s="115">
        <v>0</v>
      </c>
      <c r="AN26" s="115">
        <v>0</v>
      </c>
      <c r="AO26" s="115">
        <v>0</v>
      </c>
      <c r="AP26" s="115">
        <v>0</v>
      </c>
      <c r="AQ26" s="115">
        <v>0</v>
      </c>
      <c r="AR26" s="115">
        <v>0</v>
      </c>
      <c r="AS26" s="115">
        <v>0</v>
      </c>
      <c r="AT26" s="116">
        <v>0</v>
      </c>
    </row>
    <row r="27" spans="2:46" ht="12" customHeight="1" x14ac:dyDescent="0.3">
      <c r="B27" s="114" t="s">
        <v>22</v>
      </c>
      <c r="C27" s="115" t="s">
        <v>88</v>
      </c>
      <c r="D27" s="115" t="s">
        <v>24</v>
      </c>
      <c r="E27" s="115" t="s">
        <v>24</v>
      </c>
      <c r="F27" s="115" t="s">
        <v>25</v>
      </c>
      <c r="G27" s="115" t="s">
        <v>25</v>
      </c>
      <c r="H27" s="115" t="s">
        <v>72</v>
      </c>
      <c r="I27" s="115" t="s">
        <v>25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15">
        <v>0</v>
      </c>
      <c r="R27" s="115">
        <v>0</v>
      </c>
      <c r="S27" s="115">
        <v>0</v>
      </c>
      <c r="T27" s="115">
        <v>0</v>
      </c>
      <c r="U27" s="115">
        <v>0</v>
      </c>
      <c r="V27" s="115">
        <v>0</v>
      </c>
      <c r="W27" s="115">
        <v>0</v>
      </c>
      <c r="X27" s="115">
        <v>0</v>
      </c>
      <c r="Y27" s="115">
        <v>0</v>
      </c>
      <c r="Z27" s="115">
        <v>0</v>
      </c>
      <c r="AA27" s="115">
        <v>0</v>
      </c>
      <c r="AB27" s="115">
        <v>0</v>
      </c>
      <c r="AC27" s="115">
        <v>0</v>
      </c>
      <c r="AD27" s="115">
        <v>0</v>
      </c>
      <c r="AE27" s="115">
        <v>0</v>
      </c>
      <c r="AF27" s="115">
        <v>0</v>
      </c>
      <c r="AG27" s="115">
        <v>0</v>
      </c>
      <c r="AH27" s="115">
        <v>0</v>
      </c>
      <c r="AI27" s="115">
        <v>0</v>
      </c>
      <c r="AJ27" s="115">
        <v>0</v>
      </c>
      <c r="AK27" s="115">
        <v>0</v>
      </c>
      <c r="AL27" s="115">
        <v>0</v>
      </c>
      <c r="AM27" s="115">
        <v>0</v>
      </c>
      <c r="AN27" s="115">
        <v>0</v>
      </c>
      <c r="AO27" s="115">
        <v>0</v>
      </c>
      <c r="AP27" s="115">
        <v>0</v>
      </c>
      <c r="AQ27" s="115">
        <v>0</v>
      </c>
      <c r="AR27" s="115">
        <v>0</v>
      </c>
      <c r="AS27" s="115">
        <v>0</v>
      </c>
      <c r="AT27" s="116">
        <v>0</v>
      </c>
    </row>
    <row r="28" spans="2:46" ht="12" customHeight="1" x14ac:dyDescent="0.3">
      <c r="B28" s="114" t="s">
        <v>42</v>
      </c>
      <c r="C28" s="115" t="s">
        <v>40</v>
      </c>
      <c r="D28" s="115" t="s">
        <v>43</v>
      </c>
      <c r="E28" s="115" t="s">
        <v>89</v>
      </c>
      <c r="F28" s="115" t="s">
        <v>25</v>
      </c>
      <c r="G28" s="115" t="s">
        <v>37</v>
      </c>
      <c r="H28" s="115" t="s">
        <v>72</v>
      </c>
      <c r="I28" s="115" t="s">
        <v>25</v>
      </c>
      <c r="J28" s="115">
        <v>0</v>
      </c>
      <c r="K28" s="115">
        <v>0</v>
      </c>
      <c r="L28" s="115">
        <v>0</v>
      </c>
      <c r="M28" s="115">
        <v>0</v>
      </c>
      <c r="N28" s="115">
        <v>0</v>
      </c>
      <c r="O28" s="115">
        <v>0</v>
      </c>
      <c r="P28" s="115">
        <v>0</v>
      </c>
      <c r="Q28" s="115">
        <v>0</v>
      </c>
      <c r="R28" s="115">
        <v>0</v>
      </c>
      <c r="S28" s="115">
        <v>0</v>
      </c>
      <c r="T28" s="115">
        <v>0</v>
      </c>
      <c r="U28" s="115">
        <v>0</v>
      </c>
      <c r="V28" s="115">
        <v>0</v>
      </c>
      <c r="W28" s="115">
        <v>0</v>
      </c>
      <c r="X28" s="115">
        <v>0</v>
      </c>
      <c r="Y28" s="115">
        <v>0</v>
      </c>
      <c r="Z28" s="115">
        <v>0</v>
      </c>
      <c r="AA28" s="115">
        <v>0</v>
      </c>
      <c r="AB28" s="115">
        <v>0</v>
      </c>
      <c r="AC28" s="115">
        <v>0</v>
      </c>
      <c r="AD28" s="115">
        <v>0</v>
      </c>
      <c r="AE28" s="115">
        <v>0</v>
      </c>
      <c r="AF28" s="115">
        <v>0</v>
      </c>
      <c r="AG28" s="115">
        <v>0</v>
      </c>
      <c r="AH28" s="115">
        <v>0</v>
      </c>
      <c r="AI28" s="115">
        <v>0</v>
      </c>
      <c r="AJ28" s="115">
        <v>0</v>
      </c>
      <c r="AK28" s="115">
        <v>0</v>
      </c>
      <c r="AL28" s="115">
        <v>0</v>
      </c>
      <c r="AM28" s="115">
        <v>0</v>
      </c>
      <c r="AN28" s="115">
        <v>0</v>
      </c>
      <c r="AO28" s="115">
        <v>0</v>
      </c>
      <c r="AP28" s="115">
        <v>0</v>
      </c>
      <c r="AQ28" s="115">
        <v>0</v>
      </c>
      <c r="AR28" s="115">
        <v>0</v>
      </c>
      <c r="AS28" s="115">
        <v>0</v>
      </c>
      <c r="AT28" s="116">
        <v>0</v>
      </c>
    </row>
    <row r="29" spans="2:46" ht="12" customHeight="1" x14ac:dyDescent="0.3">
      <c r="B29" s="114" t="s">
        <v>42</v>
      </c>
      <c r="C29" s="115" t="s">
        <v>40</v>
      </c>
      <c r="D29" s="115" t="s">
        <v>43</v>
      </c>
      <c r="E29" s="115" t="s">
        <v>89</v>
      </c>
      <c r="F29" s="115" t="s">
        <v>25</v>
      </c>
      <c r="G29" s="115" t="s">
        <v>41</v>
      </c>
      <c r="H29" s="115" t="s">
        <v>72</v>
      </c>
      <c r="I29" s="115" t="s">
        <v>25</v>
      </c>
      <c r="J29" s="115">
        <v>0</v>
      </c>
      <c r="K29" s="115">
        <v>0</v>
      </c>
      <c r="L29" s="115">
        <v>0</v>
      </c>
      <c r="M29" s="115">
        <v>0</v>
      </c>
      <c r="N29" s="115">
        <v>0</v>
      </c>
      <c r="O29" s="115">
        <v>0</v>
      </c>
      <c r="P29" s="115">
        <v>0</v>
      </c>
      <c r="Q29" s="115">
        <v>0</v>
      </c>
      <c r="R29" s="115">
        <v>0</v>
      </c>
      <c r="S29" s="115">
        <v>0</v>
      </c>
      <c r="T29" s="115">
        <v>0</v>
      </c>
      <c r="U29" s="115">
        <v>0</v>
      </c>
      <c r="V29" s="115">
        <v>0</v>
      </c>
      <c r="W29" s="115">
        <v>0</v>
      </c>
      <c r="X29" s="115">
        <v>0</v>
      </c>
      <c r="Y29" s="115">
        <v>0</v>
      </c>
      <c r="Z29" s="115">
        <v>0</v>
      </c>
      <c r="AA29" s="115">
        <v>0</v>
      </c>
      <c r="AB29" s="115">
        <v>0</v>
      </c>
      <c r="AC29" s="115">
        <v>0</v>
      </c>
      <c r="AD29" s="115">
        <v>0</v>
      </c>
      <c r="AE29" s="115">
        <v>0</v>
      </c>
      <c r="AF29" s="115">
        <v>0</v>
      </c>
      <c r="AG29" s="115">
        <v>0</v>
      </c>
      <c r="AH29" s="115">
        <v>0</v>
      </c>
      <c r="AI29" s="115">
        <v>0</v>
      </c>
      <c r="AJ29" s="115">
        <v>0</v>
      </c>
      <c r="AK29" s="115">
        <v>0</v>
      </c>
      <c r="AL29" s="115">
        <v>0</v>
      </c>
      <c r="AM29" s="115">
        <v>0</v>
      </c>
      <c r="AN29" s="115">
        <v>0</v>
      </c>
      <c r="AO29" s="115">
        <v>0</v>
      </c>
      <c r="AP29" s="115">
        <v>0</v>
      </c>
      <c r="AQ29" s="115">
        <v>0</v>
      </c>
      <c r="AR29" s="115">
        <v>0</v>
      </c>
      <c r="AS29" s="115">
        <v>0</v>
      </c>
      <c r="AT29" s="116">
        <v>0</v>
      </c>
    </row>
    <row r="30" spans="2:46" ht="12" customHeight="1" x14ac:dyDescent="0.3">
      <c r="B30" s="114" t="s">
        <v>42</v>
      </c>
      <c r="C30" s="115" t="s">
        <v>40</v>
      </c>
      <c r="D30" s="115" t="s">
        <v>43</v>
      </c>
      <c r="E30" s="115" t="s">
        <v>89</v>
      </c>
      <c r="F30" s="115" t="s">
        <v>25</v>
      </c>
      <c r="G30" s="115" t="s">
        <v>38</v>
      </c>
      <c r="H30" s="115" t="s">
        <v>72</v>
      </c>
      <c r="I30" s="115" t="s">
        <v>25</v>
      </c>
      <c r="J30" s="115">
        <v>0</v>
      </c>
      <c r="K30" s="115">
        <v>0</v>
      </c>
      <c r="L30" s="115">
        <v>0</v>
      </c>
      <c r="M30" s="115">
        <v>0</v>
      </c>
      <c r="N30" s="115">
        <v>0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5">
        <v>0</v>
      </c>
      <c r="U30" s="115">
        <v>0</v>
      </c>
      <c r="V30" s="115">
        <v>0</v>
      </c>
      <c r="W30" s="115">
        <v>0</v>
      </c>
      <c r="X30" s="115">
        <v>0</v>
      </c>
      <c r="Y30" s="115">
        <v>0</v>
      </c>
      <c r="Z30" s="115">
        <v>0</v>
      </c>
      <c r="AA30" s="115">
        <v>0</v>
      </c>
      <c r="AB30" s="115">
        <v>0</v>
      </c>
      <c r="AC30" s="115">
        <v>0</v>
      </c>
      <c r="AD30" s="115">
        <v>0</v>
      </c>
      <c r="AE30" s="115">
        <v>0</v>
      </c>
      <c r="AF30" s="115">
        <v>0</v>
      </c>
      <c r="AG30" s="115">
        <v>0</v>
      </c>
      <c r="AH30" s="115">
        <v>0</v>
      </c>
      <c r="AI30" s="115">
        <v>0</v>
      </c>
      <c r="AJ30" s="115">
        <v>0</v>
      </c>
      <c r="AK30" s="115">
        <v>0</v>
      </c>
      <c r="AL30" s="115">
        <v>0</v>
      </c>
      <c r="AM30" s="115">
        <v>0</v>
      </c>
      <c r="AN30" s="115">
        <v>0</v>
      </c>
      <c r="AO30" s="115">
        <v>0</v>
      </c>
      <c r="AP30" s="115">
        <v>0</v>
      </c>
      <c r="AQ30" s="115">
        <v>0</v>
      </c>
      <c r="AR30" s="115">
        <v>0</v>
      </c>
      <c r="AS30" s="115">
        <v>0</v>
      </c>
      <c r="AT30" s="116">
        <v>0</v>
      </c>
    </row>
    <row r="31" spans="2:46" ht="12" customHeight="1" x14ac:dyDescent="0.3">
      <c r="B31" s="114" t="s">
        <v>42</v>
      </c>
      <c r="C31" s="115" t="s">
        <v>40</v>
      </c>
      <c r="D31" s="115" t="s">
        <v>43</v>
      </c>
      <c r="E31" s="115" t="s">
        <v>25</v>
      </c>
      <c r="F31" s="115" t="s">
        <v>25</v>
      </c>
      <c r="G31" s="115" t="s">
        <v>37</v>
      </c>
      <c r="H31" s="115" t="s">
        <v>72</v>
      </c>
      <c r="I31" s="115" t="s">
        <v>25</v>
      </c>
      <c r="J31" s="115">
        <v>0</v>
      </c>
      <c r="K31" s="115">
        <v>0</v>
      </c>
      <c r="L31" s="115">
        <v>0</v>
      </c>
      <c r="M31" s="115">
        <v>0</v>
      </c>
      <c r="N31" s="115">
        <v>0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5">
        <v>0</v>
      </c>
      <c r="U31" s="115">
        <v>0</v>
      </c>
      <c r="V31" s="115">
        <v>0</v>
      </c>
      <c r="W31" s="115">
        <v>0</v>
      </c>
      <c r="X31" s="115">
        <v>0</v>
      </c>
      <c r="Y31" s="115">
        <v>0</v>
      </c>
      <c r="Z31" s="115">
        <v>0</v>
      </c>
      <c r="AA31" s="115">
        <v>0</v>
      </c>
      <c r="AB31" s="115">
        <v>0</v>
      </c>
      <c r="AC31" s="115">
        <v>0</v>
      </c>
      <c r="AD31" s="115">
        <v>0</v>
      </c>
      <c r="AE31" s="115">
        <v>0</v>
      </c>
      <c r="AF31" s="115">
        <v>0</v>
      </c>
      <c r="AG31" s="115">
        <v>0</v>
      </c>
      <c r="AH31" s="115">
        <v>0</v>
      </c>
      <c r="AI31" s="115">
        <v>0</v>
      </c>
      <c r="AJ31" s="115">
        <v>0</v>
      </c>
      <c r="AK31" s="115">
        <v>0</v>
      </c>
      <c r="AL31" s="115">
        <v>0</v>
      </c>
      <c r="AM31" s="115">
        <v>0</v>
      </c>
      <c r="AN31" s="115">
        <v>0</v>
      </c>
      <c r="AO31" s="115">
        <v>0</v>
      </c>
      <c r="AP31" s="115">
        <v>0</v>
      </c>
      <c r="AQ31" s="115">
        <v>0</v>
      </c>
      <c r="AR31" s="115">
        <v>0</v>
      </c>
      <c r="AS31" s="115">
        <v>0</v>
      </c>
      <c r="AT31" s="116">
        <v>0</v>
      </c>
    </row>
    <row r="32" spans="2:46" ht="12" customHeight="1" x14ac:dyDescent="0.3">
      <c r="B32" s="114" t="s">
        <v>42</v>
      </c>
      <c r="C32" s="115" t="s">
        <v>40</v>
      </c>
      <c r="D32" s="115" t="s">
        <v>43</v>
      </c>
      <c r="E32" s="115" t="s">
        <v>25</v>
      </c>
      <c r="F32" s="115" t="s">
        <v>25</v>
      </c>
      <c r="G32" s="115" t="s">
        <v>41</v>
      </c>
      <c r="H32" s="115" t="s">
        <v>72</v>
      </c>
      <c r="I32" s="115" t="s">
        <v>25</v>
      </c>
      <c r="J32" s="115">
        <v>0</v>
      </c>
      <c r="K32" s="115">
        <v>0</v>
      </c>
      <c r="L32" s="115">
        <v>0</v>
      </c>
      <c r="M32" s="115">
        <v>0</v>
      </c>
      <c r="N32" s="115">
        <v>0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5">
        <v>0</v>
      </c>
      <c r="U32" s="115">
        <v>0</v>
      </c>
      <c r="V32" s="115">
        <v>0</v>
      </c>
      <c r="W32" s="115">
        <v>0</v>
      </c>
      <c r="X32" s="115">
        <v>0</v>
      </c>
      <c r="Y32" s="115">
        <v>0</v>
      </c>
      <c r="Z32" s="115">
        <v>0</v>
      </c>
      <c r="AA32" s="115">
        <v>0</v>
      </c>
      <c r="AB32" s="115">
        <v>0</v>
      </c>
      <c r="AC32" s="115">
        <v>0</v>
      </c>
      <c r="AD32" s="115">
        <v>0</v>
      </c>
      <c r="AE32" s="115">
        <v>0</v>
      </c>
      <c r="AF32" s="115">
        <v>0</v>
      </c>
      <c r="AG32" s="115">
        <v>0</v>
      </c>
      <c r="AH32" s="115">
        <v>0</v>
      </c>
      <c r="AI32" s="115">
        <v>0</v>
      </c>
      <c r="AJ32" s="115">
        <v>0</v>
      </c>
      <c r="AK32" s="115">
        <v>0</v>
      </c>
      <c r="AL32" s="115">
        <v>0</v>
      </c>
      <c r="AM32" s="115">
        <v>0</v>
      </c>
      <c r="AN32" s="115">
        <v>0</v>
      </c>
      <c r="AO32" s="115">
        <v>0</v>
      </c>
      <c r="AP32" s="115">
        <v>0</v>
      </c>
      <c r="AQ32" s="115">
        <v>0</v>
      </c>
      <c r="AR32" s="115">
        <v>0</v>
      </c>
      <c r="AS32" s="115">
        <v>0</v>
      </c>
      <c r="AT32" s="116">
        <v>0</v>
      </c>
    </row>
    <row r="33" spans="2:46" ht="12" customHeight="1" x14ac:dyDescent="0.3">
      <c r="B33" s="114" t="s">
        <v>42</v>
      </c>
      <c r="C33" s="115" t="s">
        <v>40</v>
      </c>
      <c r="D33" s="115" t="s">
        <v>43</v>
      </c>
      <c r="E33" s="115" t="s">
        <v>25</v>
      </c>
      <c r="F33" s="115" t="s">
        <v>25</v>
      </c>
      <c r="G33" s="115" t="s">
        <v>38</v>
      </c>
      <c r="H33" s="115" t="s">
        <v>72</v>
      </c>
      <c r="I33" s="115" t="s">
        <v>25</v>
      </c>
      <c r="J33" s="115">
        <v>0</v>
      </c>
      <c r="K33" s="115">
        <v>0</v>
      </c>
      <c r="L33" s="115">
        <v>0</v>
      </c>
      <c r="M33" s="115">
        <v>0</v>
      </c>
      <c r="N33" s="115">
        <v>0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5">
        <v>0</v>
      </c>
      <c r="U33" s="115">
        <v>0</v>
      </c>
      <c r="V33" s="115">
        <v>0</v>
      </c>
      <c r="W33" s="115">
        <v>0</v>
      </c>
      <c r="X33" s="115">
        <v>0</v>
      </c>
      <c r="Y33" s="115">
        <v>0</v>
      </c>
      <c r="Z33" s="115">
        <v>0</v>
      </c>
      <c r="AA33" s="115">
        <v>0</v>
      </c>
      <c r="AB33" s="115">
        <v>0</v>
      </c>
      <c r="AC33" s="115">
        <v>0</v>
      </c>
      <c r="AD33" s="115">
        <v>0</v>
      </c>
      <c r="AE33" s="115">
        <v>0</v>
      </c>
      <c r="AF33" s="115">
        <v>0</v>
      </c>
      <c r="AG33" s="115">
        <v>0</v>
      </c>
      <c r="AH33" s="115">
        <v>0</v>
      </c>
      <c r="AI33" s="115">
        <v>0</v>
      </c>
      <c r="AJ33" s="115">
        <v>0</v>
      </c>
      <c r="AK33" s="115">
        <v>0</v>
      </c>
      <c r="AL33" s="115">
        <v>0</v>
      </c>
      <c r="AM33" s="115">
        <v>0</v>
      </c>
      <c r="AN33" s="115">
        <v>0</v>
      </c>
      <c r="AO33" s="115">
        <v>0</v>
      </c>
      <c r="AP33" s="115">
        <v>0</v>
      </c>
      <c r="AQ33" s="115">
        <v>0</v>
      </c>
      <c r="AR33" s="115">
        <v>0</v>
      </c>
      <c r="AS33" s="115">
        <v>0</v>
      </c>
      <c r="AT33" s="116">
        <v>0</v>
      </c>
    </row>
    <row r="34" spans="2:46" ht="12" customHeight="1" x14ac:dyDescent="0.3">
      <c r="B34" s="114" t="s">
        <v>42</v>
      </c>
      <c r="C34" s="115" t="s">
        <v>40</v>
      </c>
      <c r="D34" s="115" t="s">
        <v>43</v>
      </c>
      <c r="E34" s="115" t="s">
        <v>90</v>
      </c>
      <c r="F34" s="115" t="s">
        <v>25</v>
      </c>
      <c r="G34" s="115" t="s">
        <v>37</v>
      </c>
      <c r="H34" s="115" t="s">
        <v>72</v>
      </c>
      <c r="I34" s="115" t="s">
        <v>25</v>
      </c>
      <c r="J34" s="115">
        <v>0</v>
      </c>
      <c r="K34" s="115">
        <v>0</v>
      </c>
      <c r="L34" s="115">
        <v>0</v>
      </c>
      <c r="M34" s="115">
        <v>0</v>
      </c>
      <c r="N34" s="115">
        <v>0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5">
        <v>0</v>
      </c>
      <c r="U34" s="115">
        <v>0</v>
      </c>
      <c r="V34" s="115">
        <v>0</v>
      </c>
      <c r="W34" s="115">
        <v>0</v>
      </c>
      <c r="X34" s="115">
        <v>0</v>
      </c>
      <c r="Y34" s="115">
        <v>0</v>
      </c>
      <c r="Z34" s="115">
        <v>0</v>
      </c>
      <c r="AA34" s="115">
        <v>0</v>
      </c>
      <c r="AB34" s="115">
        <v>0</v>
      </c>
      <c r="AC34" s="115">
        <v>0</v>
      </c>
      <c r="AD34" s="115">
        <v>0</v>
      </c>
      <c r="AE34" s="115">
        <v>0</v>
      </c>
      <c r="AF34" s="115">
        <v>0</v>
      </c>
      <c r="AG34" s="115">
        <v>0</v>
      </c>
      <c r="AH34" s="115">
        <v>0</v>
      </c>
      <c r="AI34" s="115">
        <v>0</v>
      </c>
      <c r="AJ34" s="115">
        <v>0</v>
      </c>
      <c r="AK34" s="115">
        <v>0</v>
      </c>
      <c r="AL34" s="115">
        <v>0</v>
      </c>
      <c r="AM34" s="115">
        <v>0</v>
      </c>
      <c r="AN34" s="115">
        <v>0</v>
      </c>
      <c r="AO34" s="115">
        <v>0</v>
      </c>
      <c r="AP34" s="115">
        <v>0</v>
      </c>
      <c r="AQ34" s="115">
        <v>0</v>
      </c>
      <c r="AR34" s="115">
        <v>0</v>
      </c>
      <c r="AS34" s="115">
        <v>0</v>
      </c>
      <c r="AT34" s="116">
        <v>0</v>
      </c>
    </row>
    <row r="35" spans="2:46" ht="12" customHeight="1" x14ac:dyDescent="0.3">
      <c r="B35" s="114" t="s">
        <v>42</v>
      </c>
      <c r="C35" s="115" t="s">
        <v>40</v>
      </c>
      <c r="D35" s="115" t="s">
        <v>43</v>
      </c>
      <c r="E35" s="115" t="s">
        <v>90</v>
      </c>
      <c r="F35" s="115" t="s">
        <v>25</v>
      </c>
      <c r="G35" s="115" t="s">
        <v>41</v>
      </c>
      <c r="H35" s="115" t="s">
        <v>72</v>
      </c>
      <c r="I35" s="115" t="s">
        <v>25</v>
      </c>
      <c r="J35" s="115">
        <v>0</v>
      </c>
      <c r="K35" s="115">
        <v>0</v>
      </c>
      <c r="L35" s="115">
        <v>0</v>
      </c>
      <c r="M35" s="115">
        <v>0</v>
      </c>
      <c r="N35" s="115">
        <v>0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5">
        <v>0</v>
      </c>
      <c r="U35" s="115">
        <v>0</v>
      </c>
      <c r="V35" s="115">
        <v>0</v>
      </c>
      <c r="W35" s="115">
        <v>0</v>
      </c>
      <c r="X35" s="115">
        <v>0</v>
      </c>
      <c r="Y35" s="115">
        <v>0</v>
      </c>
      <c r="Z35" s="115">
        <v>0</v>
      </c>
      <c r="AA35" s="115">
        <v>0</v>
      </c>
      <c r="AB35" s="115">
        <v>0</v>
      </c>
      <c r="AC35" s="115">
        <v>0</v>
      </c>
      <c r="AD35" s="115">
        <v>0</v>
      </c>
      <c r="AE35" s="115">
        <v>0</v>
      </c>
      <c r="AF35" s="115">
        <v>0</v>
      </c>
      <c r="AG35" s="115">
        <v>0</v>
      </c>
      <c r="AH35" s="115">
        <v>0</v>
      </c>
      <c r="AI35" s="115">
        <v>0</v>
      </c>
      <c r="AJ35" s="115">
        <v>0</v>
      </c>
      <c r="AK35" s="115">
        <v>0</v>
      </c>
      <c r="AL35" s="115">
        <v>0</v>
      </c>
      <c r="AM35" s="115">
        <v>0</v>
      </c>
      <c r="AN35" s="115">
        <v>0</v>
      </c>
      <c r="AO35" s="115">
        <v>0</v>
      </c>
      <c r="AP35" s="115">
        <v>0</v>
      </c>
      <c r="AQ35" s="115">
        <v>0</v>
      </c>
      <c r="AR35" s="115">
        <v>0</v>
      </c>
      <c r="AS35" s="115">
        <v>0</v>
      </c>
      <c r="AT35" s="116">
        <v>0</v>
      </c>
    </row>
    <row r="36" spans="2:46" ht="12" customHeight="1" x14ac:dyDescent="0.3">
      <c r="B36" s="114" t="s">
        <v>42</v>
      </c>
      <c r="C36" s="115" t="s">
        <v>40</v>
      </c>
      <c r="D36" s="115" t="s">
        <v>43</v>
      </c>
      <c r="E36" s="115" t="s">
        <v>90</v>
      </c>
      <c r="F36" s="115" t="s">
        <v>25</v>
      </c>
      <c r="G36" s="115" t="s">
        <v>38</v>
      </c>
      <c r="H36" s="115" t="s">
        <v>72</v>
      </c>
      <c r="I36" s="115" t="s">
        <v>25</v>
      </c>
      <c r="J36" s="115">
        <v>0</v>
      </c>
      <c r="K36" s="115">
        <v>0</v>
      </c>
      <c r="L36" s="115">
        <v>0</v>
      </c>
      <c r="M36" s="115">
        <v>0</v>
      </c>
      <c r="N36" s="115">
        <v>0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5">
        <v>0</v>
      </c>
      <c r="U36" s="115">
        <v>0</v>
      </c>
      <c r="V36" s="115">
        <v>0</v>
      </c>
      <c r="W36" s="115">
        <v>0</v>
      </c>
      <c r="X36" s="115">
        <v>0</v>
      </c>
      <c r="Y36" s="115">
        <v>0</v>
      </c>
      <c r="Z36" s="115">
        <v>0</v>
      </c>
      <c r="AA36" s="115">
        <v>0</v>
      </c>
      <c r="AB36" s="115">
        <v>0</v>
      </c>
      <c r="AC36" s="115">
        <v>0</v>
      </c>
      <c r="AD36" s="115">
        <v>0</v>
      </c>
      <c r="AE36" s="115">
        <v>0</v>
      </c>
      <c r="AF36" s="115">
        <v>0</v>
      </c>
      <c r="AG36" s="115">
        <v>0</v>
      </c>
      <c r="AH36" s="115">
        <v>0</v>
      </c>
      <c r="AI36" s="115">
        <v>0</v>
      </c>
      <c r="AJ36" s="115">
        <v>0</v>
      </c>
      <c r="AK36" s="115">
        <v>0</v>
      </c>
      <c r="AL36" s="115">
        <v>0</v>
      </c>
      <c r="AM36" s="115">
        <v>0</v>
      </c>
      <c r="AN36" s="115">
        <v>0</v>
      </c>
      <c r="AO36" s="115">
        <v>0</v>
      </c>
      <c r="AP36" s="115">
        <v>0</v>
      </c>
      <c r="AQ36" s="115">
        <v>0</v>
      </c>
      <c r="AR36" s="115">
        <v>0</v>
      </c>
      <c r="AS36" s="115">
        <v>0</v>
      </c>
      <c r="AT36" s="116">
        <v>0</v>
      </c>
    </row>
    <row r="37" spans="2:46" ht="12" customHeight="1" x14ac:dyDescent="0.3">
      <c r="B37" s="114" t="s">
        <v>42</v>
      </c>
      <c r="C37" s="115" t="s">
        <v>23</v>
      </c>
      <c r="D37" s="115" t="s">
        <v>43</v>
      </c>
      <c r="E37" s="115" t="s">
        <v>89</v>
      </c>
      <c r="F37" s="115" t="s">
        <v>25</v>
      </c>
      <c r="G37" s="115" t="s">
        <v>25</v>
      </c>
      <c r="H37" s="115" t="s">
        <v>72</v>
      </c>
      <c r="I37" s="115" t="s">
        <v>25</v>
      </c>
      <c r="J37" s="115">
        <v>0</v>
      </c>
      <c r="K37" s="115">
        <v>0</v>
      </c>
      <c r="L37" s="115">
        <v>0</v>
      </c>
      <c r="M37" s="115">
        <v>0</v>
      </c>
      <c r="N37" s="115">
        <v>0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5">
        <v>0</v>
      </c>
      <c r="U37" s="115">
        <v>0</v>
      </c>
      <c r="V37" s="115">
        <v>0</v>
      </c>
      <c r="W37" s="115">
        <v>0</v>
      </c>
      <c r="X37" s="115">
        <v>0</v>
      </c>
      <c r="Y37" s="115">
        <v>0</v>
      </c>
      <c r="Z37" s="115">
        <v>0</v>
      </c>
      <c r="AA37" s="115">
        <v>0</v>
      </c>
      <c r="AB37" s="115">
        <v>0</v>
      </c>
      <c r="AC37" s="115">
        <v>0</v>
      </c>
      <c r="AD37" s="115">
        <v>0</v>
      </c>
      <c r="AE37" s="115">
        <v>0</v>
      </c>
      <c r="AF37" s="115">
        <v>0</v>
      </c>
      <c r="AG37" s="115">
        <v>0</v>
      </c>
      <c r="AH37" s="115">
        <v>0</v>
      </c>
      <c r="AI37" s="115">
        <v>0</v>
      </c>
      <c r="AJ37" s="115">
        <v>0</v>
      </c>
      <c r="AK37" s="115">
        <v>0</v>
      </c>
      <c r="AL37" s="115">
        <v>0</v>
      </c>
      <c r="AM37" s="115">
        <v>0</v>
      </c>
      <c r="AN37" s="115">
        <v>0</v>
      </c>
      <c r="AO37" s="115">
        <v>0</v>
      </c>
      <c r="AP37" s="115">
        <v>0</v>
      </c>
      <c r="AQ37" s="115">
        <v>0</v>
      </c>
      <c r="AR37" s="115">
        <v>0</v>
      </c>
      <c r="AS37" s="115">
        <v>0</v>
      </c>
      <c r="AT37" s="116">
        <v>0</v>
      </c>
    </row>
    <row r="38" spans="2:46" ht="12" customHeight="1" x14ac:dyDescent="0.3">
      <c r="B38" s="114" t="s">
        <v>42</v>
      </c>
      <c r="C38" s="115" t="s">
        <v>23</v>
      </c>
      <c r="D38" s="115" t="s">
        <v>43</v>
      </c>
      <c r="E38" s="115" t="s">
        <v>25</v>
      </c>
      <c r="F38" s="115" t="s">
        <v>25</v>
      </c>
      <c r="G38" s="115" t="s">
        <v>25</v>
      </c>
      <c r="H38" s="115" t="s">
        <v>72</v>
      </c>
      <c r="I38" s="115" t="s">
        <v>25</v>
      </c>
      <c r="J38" s="115">
        <v>0</v>
      </c>
      <c r="K38" s="115">
        <v>0</v>
      </c>
      <c r="L38" s="115">
        <v>0</v>
      </c>
      <c r="M38" s="115">
        <v>0</v>
      </c>
      <c r="N38" s="115">
        <v>0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5">
        <v>0</v>
      </c>
      <c r="U38" s="115">
        <v>0</v>
      </c>
      <c r="V38" s="115">
        <v>0</v>
      </c>
      <c r="W38" s="115">
        <v>0</v>
      </c>
      <c r="X38" s="115">
        <v>0</v>
      </c>
      <c r="Y38" s="115">
        <v>0</v>
      </c>
      <c r="Z38" s="115">
        <v>0</v>
      </c>
      <c r="AA38" s="115">
        <v>0</v>
      </c>
      <c r="AB38" s="115">
        <v>0</v>
      </c>
      <c r="AC38" s="115">
        <v>0</v>
      </c>
      <c r="AD38" s="115">
        <v>0</v>
      </c>
      <c r="AE38" s="115">
        <v>0</v>
      </c>
      <c r="AF38" s="115">
        <v>0</v>
      </c>
      <c r="AG38" s="115">
        <v>0</v>
      </c>
      <c r="AH38" s="115">
        <v>0</v>
      </c>
      <c r="AI38" s="115">
        <v>0</v>
      </c>
      <c r="AJ38" s="115">
        <v>0</v>
      </c>
      <c r="AK38" s="115">
        <v>0</v>
      </c>
      <c r="AL38" s="115">
        <v>0</v>
      </c>
      <c r="AM38" s="115">
        <v>0</v>
      </c>
      <c r="AN38" s="115">
        <v>0</v>
      </c>
      <c r="AO38" s="115">
        <v>0</v>
      </c>
      <c r="AP38" s="115">
        <v>0</v>
      </c>
      <c r="AQ38" s="115">
        <v>0</v>
      </c>
      <c r="AR38" s="115">
        <v>0</v>
      </c>
      <c r="AS38" s="115">
        <v>0</v>
      </c>
      <c r="AT38" s="116">
        <v>0</v>
      </c>
    </row>
    <row r="39" spans="2:46" ht="12" customHeight="1" x14ac:dyDescent="0.3">
      <c r="B39" s="114" t="s">
        <v>42</v>
      </c>
      <c r="C39" s="115" t="s">
        <v>23</v>
      </c>
      <c r="D39" s="115" t="s">
        <v>43</v>
      </c>
      <c r="E39" s="115" t="s">
        <v>90</v>
      </c>
      <c r="F39" s="115" t="s">
        <v>25</v>
      </c>
      <c r="G39" s="115" t="s">
        <v>25</v>
      </c>
      <c r="H39" s="115" t="s">
        <v>72</v>
      </c>
      <c r="I39" s="115" t="s">
        <v>25</v>
      </c>
      <c r="J39" s="115">
        <v>0</v>
      </c>
      <c r="K39" s="115">
        <v>0</v>
      </c>
      <c r="L39" s="115">
        <v>0</v>
      </c>
      <c r="M39" s="115">
        <v>0</v>
      </c>
      <c r="N39" s="115">
        <v>0</v>
      </c>
      <c r="O39" s="115">
        <v>0</v>
      </c>
      <c r="P39" s="115">
        <v>0</v>
      </c>
      <c r="Q39" s="115">
        <v>0</v>
      </c>
      <c r="R39" s="115">
        <v>0</v>
      </c>
      <c r="S39" s="115">
        <v>0</v>
      </c>
      <c r="T39" s="115">
        <v>0</v>
      </c>
      <c r="U39" s="115">
        <v>0</v>
      </c>
      <c r="V39" s="115">
        <v>0</v>
      </c>
      <c r="W39" s="115">
        <v>0</v>
      </c>
      <c r="X39" s="115">
        <v>0</v>
      </c>
      <c r="Y39" s="115">
        <v>0</v>
      </c>
      <c r="Z39" s="115">
        <v>0</v>
      </c>
      <c r="AA39" s="115">
        <v>0</v>
      </c>
      <c r="AB39" s="115">
        <v>0</v>
      </c>
      <c r="AC39" s="115">
        <v>0</v>
      </c>
      <c r="AD39" s="115">
        <v>0</v>
      </c>
      <c r="AE39" s="115">
        <v>0</v>
      </c>
      <c r="AF39" s="115">
        <v>0</v>
      </c>
      <c r="AG39" s="115">
        <v>0</v>
      </c>
      <c r="AH39" s="115">
        <v>0</v>
      </c>
      <c r="AI39" s="115">
        <v>0</v>
      </c>
      <c r="AJ39" s="115">
        <v>0</v>
      </c>
      <c r="AK39" s="115">
        <v>0</v>
      </c>
      <c r="AL39" s="115">
        <v>0</v>
      </c>
      <c r="AM39" s="115">
        <v>0</v>
      </c>
      <c r="AN39" s="115">
        <v>0</v>
      </c>
      <c r="AO39" s="115">
        <v>0</v>
      </c>
      <c r="AP39" s="115">
        <v>0</v>
      </c>
      <c r="AQ39" s="115">
        <v>0</v>
      </c>
      <c r="AR39" s="115">
        <v>0</v>
      </c>
      <c r="AS39" s="115">
        <v>0</v>
      </c>
      <c r="AT39" s="116">
        <v>0</v>
      </c>
    </row>
    <row r="40" spans="2:46" ht="12" customHeight="1" x14ac:dyDescent="0.3">
      <c r="B40" s="114" t="s">
        <v>42</v>
      </c>
      <c r="C40" s="115" t="s">
        <v>88</v>
      </c>
      <c r="D40" s="115" t="s">
        <v>43</v>
      </c>
      <c r="E40" s="115" t="s">
        <v>89</v>
      </c>
      <c r="F40" s="115" t="s">
        <v>25</v>
      </c>
      <c r="G40" s="115" t="s">
        <v>25</v>
      </c>
      <c r="H40" s="115" t="s">
        <v>72</v>
      </c>
      <c r="I40" s="115" t="s">
        <v>25</v>
      </c>
      <c r="J40" s="115">
        <v>0</v>
      </c>
      <c r="K40" s="115">
        <v>0</v>
      </c>
      <c r="L40" s="115">
        <v>0</v>
      </c>
      <c r="M40" s="115">
        <v>0</v>
      </c>
      <c r="N40" s="115">
        <v>0</v>
      </c>
      <c r="O40" s="115">
        <v>0</v>
      </c>
      <c r="P40" s="115">
        <v>0</v>
      </c>
      <c r="Q40" s="115">
        <v>0</v>
      </c>
      <c r="R40" s="115">
        <v>0</v>
      </c>
      <c r="S40" s="115">
        <v>0</v>
      </c>
      <c r="T40" s="115">
        <v>0</v>
      </c>
      <c r="U40" s="115">
        <v>0</v>
      </c>
      <c r="V40" s="115">
        <v>0</v>
      </c>
      <c r="W40" s="115">
        <v>0</v>
      </c>
      <c r="X40" s="115">
        <v>0</v>
      </c>
      <c r="Y40" s="115">
        <v>0</v>
      </c>
      <c r="Z40" s="115">
        <v>0</v>
      </c>
      <c r="AA40" s="115">
        <v>0</v>
      </c>
      <c r="AB40" s="115">
        <v>0</v>
      </c>
      <c r="AC40" s="115">
        <v>0</v>
      </c>
      <c r="AD40" s="115">
        <v>0</v>
      </c>
      <c r="AE40" s="115">
        <v>0</v>
      </c>
      <c r="AF40" s="115">
        <v>0</v>
      </c>
      <c r="AG40" s="115">
        <v>0</v>
      </c>
      <c r="AH40" s="115">
        <v>0</v>
      </c>
      <c r="AI40" s="115">
        <v>0</v>
      </c>
      <c r="AJ40" s="115">
        <v>0</v>
      </c>
      <c r="AK40" s="115">
        <v>0</v>
      </c>
      <c r="AL40" s="115">
        <v>0</v>
      </c>
      <c r="AM40" s="115">
        <v>0</v>
      </c>
      <c r="AN40" s="115">
        <v>0</v>
      </c>
      <c r="AO40" s="115">
        <v>0</v>
      </c>
      <c r="AP40" s="115">
        <v>0</v>
      </c>
      <c r="AQ40" s="115">
        <v>0</v>
      </c>
      <c r="AR40" s="115">
        <v>0</v>
      </c>
      <c r="AS40" s="115">
        <v>0</v>
      </c>
      <c r="AT40" s="116">
        <v>0</v>
      </c>
    </row>
    <row r="41" spans="2:46" ht="12" customHeight="1" x14ac:dyDescent="0.3">
      <c r="B41" s="114" t="s">
        <v>42</v>
      </c>
      <c r="C41" s="115" t="s">
        <v>88</v>
      </c>
      <c r="D41" s="115" t="s">
        <v>43</v>
      </c>
      <c r="E41" s="115" t="s">
        <v>25</v>
      </c>
      <c r="F41" s="115" t="s">
        <v>25</v>
      </c>
      <c r="G41" s="115" t="s">
        <v>25</v>
      </c>
      <c r="H41" s="115" t="s">
        <v>72</v>
      </c>
      <c r="I41" s="115" t="s">
        <v>25</v>
      </c>
      <c r="J41" s="115">
        <v>0</v>
      </c>
      <c r="K41" s="115">
        <v>0</v>
      </c>
      <c r="L41" s="115">
        <v>0</v>
      </c>
      <c r="M41" s="115">
        <v>0</v>
      </c>
      <c r="N41" s="115">
        <v>0</v>
      </c>
      <c r="O41" s="115">
        <v>0</v>
      </c>
      <c r="P41" s="115">
        <v>0</v>
      </c>
      <c r="Q41" s="115">
        <v>0</v>
      </c>
      <c r="R41" s="115">
        <v>0</v>
      </c>
      <c r="S41" s="115">
        <v>0</v>
      </c>
      <c r="T41" s="115">
        <v>0</v>
      </c>
      <c r="U41" s="115">
        <v>0</v>
      </c>
      <c r="V41" s="115">
        <v>0</v>
      </c>
      <c r="W41" s="115">
        <v>0</v>
      </c>
      <c r="X41" s="115">
        <v>0</v>
      </c>
      <c r="Y41" s="115">
        <v>0</v>
      </c>
      <c r="Z41" s="115">
        <v>0</v>
      </c>
      <c r="AA41" s="115">
        <v>0</v>
      </c>
      <c r="AB41" s="115">
        <v>0</v>
      </c>
      <c r="AC41" s="115">
        <v>0</v>
      </c>
      <c r="AD41" s="115">
        <v>0</v>
      </c>
      <c r="AE41" s="115">
        <v>0</v>
      </c>
      <c r="AF41" s="115">
        <v>0</v>
      </c>
      <c r="AG41" s="115">
        <v>0</v>
      </c>
      <c r="AH41" s="115">
        <v>0</v>
      </c>
      <c r="AI41" s="115">
        <v>0</v>
      </c>
      <c r="AJ41" s="115">
        <v>0</v>
      </c>
      <c r="AK41" s="115">
        <v>0</v>
      </c>
      <c r="AL41" s="115">
        <v>0</v>
      </c>
      <c r="AM41" s="115">
        <v>0</v>
      </c>
      <c r="AN41" s="115">
        <v>0</v>
      </c>
      <c r="AO41" s="115">
        <v>0</v>
      </c>
      <c r="AP41" s="115">
        <v>0</v>
      </c>
      <c r="AQ41" s="115">
        <v>0</v>
      </c>
      <c r="AR41" s="115">
        <v>0</v>
      </c>
      <c r="AS41" s="115">
        <v>0</v>
      </c>
      <c r="AT41" s="116">
        <v>0</v>
      </c>
    </row>
    <row r="42" spans="2:46" ht="12" customHeight="1" x14ac:dyDescent="0.3">
      <c r="B42" s="114" t="s">
        <v>42</v>
      </c>
      <c r="C42" s="115" t="s">
        <v>88</v>
      </c>
      <c r="D42" s="115" t="s">
        <v>43</v>
      </c>
      <c r="E42" s="115" t="s">
        <v>90</v>
      </c>
      <c r="F42" s="115" t="s">
        <v>25</v>
      </c>
      <c r="G42" s="115" t="s">
        <v>25</v>
      </c>
      <c r="H42" s="115" t="s">
        <v>72</v>
      </c>
      <c r="I42" s="115" t="s">
        <v>25</v>
      </c>
      <c r="J42" s="115">
        <v>0</v>
      </c>
      <c r="K42" s="115">
        <v>0</v>
      </c>
      <c r="L42" s="115">
        <v>0</v>
      </c>
      <c r="M42" s="115">
        <v>0</v>
      </c>
      <c r="N42" s="115">
        <v>0</v>
      </c>
      <c r="O42" s="115">
        <v>0</v>
      </c>
      <c r="P42" s="115">
        <v>0</v>
      </c>
      <c r="Q42" s="115">
        <v>0</v>
      </c>
      <c r="R42" s="115">
        <v>0</v>
      </c>
      <c r="S42" s="115">
        <v>0</v>
      </c>
      <c r="T42" s="115">
        <v>0</v>
      </c>
      <c r="U42" s="115">
        <v>0</v>
      </c>
      <c r="V42" s="115">
        <v>0</v>
      </c>
      <c r="W42" s="115">
        <v>0</v>
      </c>
      <c r="X42" s="115">
        <v>0</v>
      </c>
      <c r="Y42" s="115">
        <v>0</v>
      </c>
      <c r="Z42" s="115">
        <v>0</v>
      </c>
      <c r="AA42" s="115">
        <v>0</v>
      </c>
      <c r="AB42" s="115">
        <v>0</v>
      </c>
      <c r="AC42" s="115">
        <v>0</v>
      </c>
      <c r="AD42" s="115">
        <v>0</v>
      </c>
      <c r="AE42" s="115">
        <v>0</v>
      </c>
      <c r="AF42" s="115">
        <v>0</v>
      </c>
      <c r="AG42" s="115">
        <v>0</v>
      </c>
      <c r="AH42" s="115">
        <v>0</v>
      </c>
      <c r="AI42" s="115">
        <v>0</v>
      </c>
      <c r="AJ42" s="115">
        <v>0</v>
      </c>
      <c r="AK42" s="115">
        <v>0</v>
      </c>
      <c r="AL42" s="115">
        <v>0</v>
      </c>
      <c r="AM42" s="115">
        <v>0</v>
      </c>
      <c r="AN42" s="115">
        <v>0</v>
      </c>
      <c r="AO42" s="115">
        <v>0</v>
      </c>
      <c r="AP42" s="115">
        <v>0</v>
      </c>
      <c r="AQ42" s="115">
        <v>0</v>
      </c>
      <c r="AR42" s="115">
        <v>0</v>
      </c>
      <c r="AS42" s="115">
        <v>0</v>
      </c>
      <c r="AT42" s="116">
        <v>0</v>
      </c>
    </row>
    <row r="43" spans="2:46" ht="12" customHeight="1" x14ac:dyDescent="0.3">
      <c r="B43" s="114" t="s">
        <v>33</v>
      </c>
      <c r="C43" s="115" t="s">
        <v>40</v>
      </c>
      <c r="D43" s="115" t="s">
        <v>25</v>
      </c>
      <c r="E43" s="115" t="s">
        <v>25</v>
      </c>
      <c r="F43" s="115" t="s">
        <v>25</v>
      </c>
      <c r="G43" s="115" t="s">
        <v>37</v>
      </c>
      <c r="H43" s="115" t="s">
        <v>72</v>
      </c>
      <c r="I43" s="115" t="s">
        <v>25</v>
      </c>
      <c r="J43" s="115">
        <v>0</v>
      </c>
      <c r="K43" s="115">
        <v>0</v>
      </c>
      <c r="L43" s="115">
        <v>0</v>
      </c>
      <c r="M43" s="115">
        <v>0</v>
      </c>
      <c r="N43" s="115">
        <v>0</v>
      </c>
      <c r="O43" s="115">
        <v>0</v>
      </c>
      <c r="P43" s="115">
        <v>0</v>
      </c>
      <c r="Q43" s="115">
        <v>0</v>
      </c>
      <c r="R43" s="115">
        <v>0</v>
      </c>
      <c r="S43" s="115">
        <v>0</v>
      </c>
      <c r="T43" s="115">
        <v>0</v>
      </c>
      <c r="U43" s="115">
        <v>0</v>
      </c>
      <c r="V43" s="115">
        <v>0</v>
      </c>
      <c r="W43" s="115">
        <v>0</v>
      </c>
      <c r="X43" s="115">
        <v>0</v>
      </c>
      <c r="Y43" s="115">
        <v>0</v>
      </c>
      <c r="Z43" s="115">
        <v>0</v>
      </c>
      <c r="AA43" s="115">
        <v>0</v>
      </c>
      <c r="AB43" s="115">
        <v>0</v>
      </c>
      <c r="AC43" s="115">
        <v>0</v>
      </c>
      <c r="AD43" s="115">
        <v>0</v>
      </c>
      <c r="AE43" s="115">
        <v>0</v>
      </c>
      <c r="AF43" s="115">
        <v>0</v>
      </c>
      <c r="AG43" s="115">
        <v>0</v>
      </c>
      <c r="AH43" s="115">
        <v>0</v>
      </c>
      <c r="AI43" s="115">
        <v>0</v>
      </c>
      <c r="AJ43" s="115">
        <v>0</v>
      </c>
      <c r="AK43" s="115">
        <v>0</v>
      </c>
      <c r="AL43" s="115">
        <v>0</v>
      </c>
      <c r="AM43" s="115">
        <v>0</v>
      </c>
      <c r="AN43" s="115">
        <v>0</v>
      </c>
      <c r="AO43" s="115">
        <v>0</v>
      </c>
      <c r="AP43" s="115">
        <v>0</v>
      </c>
      <c r="AQ43" s="115">
        <v>0</v>
      </c>
      <c r="AR43" s="115">
        <v>0</v>
      </c>
      <c r="AS43" s="115">
        <v>0</v>
      </c>
      <c r="AT43" s="116">
        <v>0</v>
      </c>
    </row>
    <row r="44" spans="2:46" ht="12" customHeight="1" x14ac:dyDescent="0.3">
      <c r="B44" s="114" t="s">
        <v>33</v>
      </c>
      <c r="C44" s="115" t="s">
        <v>40</v>
      </c>
      <c r="D44" s="115" t="s">
        <v>25</v>
      </c>
      <c r="E44" s="115" t="s">
        <v>25</v>
      </c>
      <c r="F44" s="115" t="s">
        <v>25</v>
      </c>
      <c r="G44" s="115" t="s">
        <v>41</v>
      </c>
      <c r="H44" s="115" t="s">
        <v>72</v>
      </c>
      <c r="I44" s="115" t="s">
        <v>25</v>
      </c>
      <c r="J44" s="115">
        <v>0</v>
      </c>
      <c r="K44" s="115">
        <v>0</v>
      </c>
      <c r="L44" s="115">
        <v>0</v>
      </c>
      <c r="M44" s="115">
        <v>0</v>
      </c>
      <c r="N44" s="115">
        <v>0</v>
      </c>
      <c r="O44" s="115">
        <v>0</v>
      </c>
      <c r="P44" s="115">
        <v>0</v>
      </c>
      <c r="Q44" s="115">
        <v>0</v>
      </c>
      <c r="R44" s="115">
        <v>0</v>
      </c>
      <c r="S44" s="115">
        <v>0</v>
      </c>
      <c r="T44" s="115">
        <v>0</v>
      </c>
      <c r="U44" s="115">
        <v>0</v>
      </c>
      <c r="V44" s="115">
        <v>0</v>
      </c>
      <c r="W44" s="115">
        <v>0</v>
      </c>
      <c r="X44" s="115">
        <v>0</v>
      </c>
      <c r="Y44" s="115">
        <v>0</v>
      </c>
      <c r="Z44" s="115">
        <v>0</v>
      </c>
      <c r="AA44" s="115">
        <v>0</v>
      </c>
      <c r="AB44" s="115">
        <v>0</v>
      </c>
      <c r="AC44" s="115">
        <v>0</v>
      </c>
      <c r="AD44" s="115">
        <v>0</v>
      </c>
      <c r="AE44" s="115">
        <v>0</v>
      </c>
      <c r="AF44" s="115">
        <v>0</v>
      </c>
      <c r="AG44" s="115">
        <v>0</v>
      </c>
      <c r="AH44" s="115">
        <v>0</v>
      </c>
      <c r="AI44" s="115">
        <v>0</v>
      </c>
      <c r="AJ44" s="115">
        <v>0</v>
      </c>
      <c r="AK44" s="115">
        <v>0</v>
      </c>
      <c r="AL44" s="115">
        <v>0</v>
      </c>
      <c r="AM44" s="115">
        <v>0</v>
      </c>
      <c r="AN44" s="115">
        <v>0</v>
      </c>
      <c r="AO44" s="115">
        <v>0</v>
      </c>
      <c r="AP44" s="115">
        <v>0</v>
      </c>
      <c r="AQ44" s="115">
        <v>0</v>
      </c>
      <c r="AR44" s="115">
        <v>0</v>
      </c>
      <c r="AS44" s="115">
        <v>0</v>
      </c>
      <c r="AT44" s="116">
        <v>0</v>
      </c>
    </row>
    <row r="45" spans="2:46" ht="12" customHeight="1" x14ac:dyDescent="0.3">
      <c r="B45" s="114" t="s">
        <v>33</v>
      </c>
      <c r="C45" s="115" t="s">
        <v>40</v>
      </c>
      <c r="D45" s="115" t="s">
        <v>25</v>
      </c>
      <c r="E45" s="115" t="s">
        <v>25</v>
      </c>
      <c r="F45" s="115" t="s">
        <v>25</v>
      </c>
      <c r="G45" s="115" t="s">
        <v>38</v>
      </c>
      <c r="H45" s="115" t="s">
        <v>72</v>
      </c>
      <c r="I45" s="115" t="s">
        <v>25</v>
      </c>
      <c r="J45" s="115">
        <v>0</v>
      </c>
      <c r="K45" s="115">
        <v>0</v>
      </c>
      <c r="L45" s="115">
        <v>0</v>
      </c>
      <c r="M45" s="115">
        <v>0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0</v>
      </c>
      <c r="Y45" s="115">
        <v>0</v>
      </c>
      <c r="Z45" s="115">
        <v>0</v>
      </c>
      <c r="AA45" s="115">
        <v>0</v>
      </c>
      <c r="AB45" s="115">
        <v>0</v>
      </c>
      <c r="AC45" s="115">
        <v>0</v>
      </c>
      <c r="AD45" s="115">
        <v>0</v>
      </c>
      <c r="AE45" s="115">
        <v>0</v>
      </c>
      <c r="AF45" s="115">
        <v>0</v>
      </c>
      <c r="AG45" s="115">
        <v>0</v>
      </c>
      <c r="AH45" s="115">
        <v>0</v>
      </c>
      <c r="AI45" s="115">
        <v>0</v>
      </c>
      <c r="AJ45" s="115">
        <v>0</v>
      </c>
      <c r="AK45" s="115">
        <v>0</v>
      </c>
      <c r="AL45" s="115">
        <v>0</v>
      </c>
      <c r="AM45" s="115">
        <v>0</v>
      </c>
      <c r="AN45" s="115">
        <v>0</v>
      </c>
      <c r="AO45" s="115">
        <v>0</v>
      </c>
      <c r="AP45" s="115">
        <v>0</v>
      </c>
      <c r="AQ45" s="115">
        <v>0</v>
      </c>
      <c r="AR45" s="115">
        <v>0</v>
      </c>
      <c r="AS45" s="115">
        <v>0</v>
      </c>
      <c r="AT45" s="116">
        <v>0</v>
      </c>
    </row>
    <row r="46" spans="2:46" ht="12" customHeight="1" x14ac:dyDescent="0.3">
      <c r="B46" s="114" t="s">
        <v>33</v>
      </c>
      <c r="C46" s="115" t="s">
        <v>23</v>
      </c>
      <c r="D46" s="115" t="s">
        <v>25</v>
      </c>
      <c r="E46" s="115" t="s">
        <v>25</v>
      </c>
      <c r="F46" s="115" t="s">
        <v>25</v>
      </c>
      <c r="G46" s="115" t="s">
        <v>25</v>
      </c>
      <c r="H46" s="115" t="s">
        <v>72</v>
      </c>
      <c r="I46" s="115" t="s">
        <v>25</v>
      </c>
      <c r="J46" s="115">
        <v>0</v>
      </c>
      <c r="K46" s="115">
        <v>0</v>
      </c>
      <c r="L46" s="115">
        <v>0</v>
      </c>
      <c r="M46" s="115">
        <v>0</v>
      </c>
      <c r="N46" s="115">
        <v>0</v>
      </c>
      <c r="O46" s="115">
        <v>0</v>
      </c>
      <c r="P46" s="115">
        <v>0</v>
      </c>
      <c r="Q46" s="115">
        <v>0</v>
      </c>
      <c r="R46" s="115">
        <v>0</v>
      </c>
      <c r="S46" s="115">
        <v>0</v>
      </c>
      <c r="T46" s="115">
        <v>0</v>
      </c>
      <c r="U46" s="115">
        <v>0</v>
      </c>
      <c r="V46" s="115">
        <v>0</v>
      </c>
      <c r="W46" s="115">
        <v>0</v>
      </c>
      <c r="X46" s="115">
        <v>0</v>
      </c>
      <c r="Y46" s="115">
        <v>0</v>
      </c>
      <c r="Z46" s="115">
        <v>0</v>
      </c>
      <c r="AA46" s="115">
        <v>0</v>
      </c>
      <c r="AB46" s="115">
        <v>0</v>
      </c>
      <c r="AC46" s="115">
        <v>0</v>
      </c>
      <c r="AD46" s="115">
        <v>0</v>
      </c>
      <c r="AE46" s="115">
        <v>0</v>
      </c>
      <c r="AF46" s="115">
        <v>0</v>
      </c>
      <c r="AG46" s="115">
        <v>0</v>
      </c>
      <c r="AH46" s="115">
        <v>0</v>
      </c>
      <c r="AI46" s="115">
        <v>0</v>
      </c>
      <c r="AJ46" s="115">
        <v>0</v>
      </c>
      <c r="AK46" s="115">
        <v>0</v>
      </c>
      <c r="AL46" s="115">
        <v>0</v>
      </c>
      <c r="AM46" s="115">
        <v>0</v>
      </c>
      <c r="AN46" s="115">
        <v>0</v>
      </c>
      <c r="AO46" s="115">
        <v>0</v>
      </c>
      <c r="AP46" s="115">
        <v>0</v>
      </c>
      <c r="AQ46" s="115">
        <v>0</v>
      </c>
      <c r="AR46" s="115">
        <v>0</v>
      </c>
      <c r="AS46" s="115">
        <v>0</v>
      </c>
      <c r="AT46" s="116">
        <v>0</v>
      </c>
    </row>
    <row r="47" spans="2:46" ht="12" customHeight="1" x14ac:dyDescent="0.3">
      <c r="B47" s="114" t="s">
        <v>33</v>
      </c>
      <c r="C47" s="115" t="s">
        <v>88</v>
      </c>
      <c r="D47" s="115" t="s">
        <v>25</v>
      </c>
      <c r="E47" s="115" t="s">
        <v>25</v>
      </c>
      <c r="F47" s="115" t="s">
        <v>25</v>
      </c>
      <c r="G47" s="115" t="s">
        <v>25</v>
      </c>
      <c r="H47" s="115" t="s">
        <v>72</v>
      </c>
      <c r="I47" s="115" t="s">
        <v>25</v>
      </c>
      <c r="J47" s="115">
        <v>0</v>
      </c>
      <c r="K47" s="115">
        <v>0</v>
      </c>
      <c r="L47" s="115">
        <v>0</v>
      </c>
      <c r="M47" s="115">
        <v>0</v>
      </c>
      <c r="N47" s="115">
        <v>0</v>
      </c>
      <c r="O47" s="115">
        <v>0</v>
      </c>
      <c r="P47" s="115">
        <v>0</v>
      </c>
      <c r="Q47" s="115">
        <v>0</v>
      </c>
      <c r="R47" s="115">
        <v>0</v>
      </c>
      <c r="S47" s="115">
        <v>0</v>
      </c>
      <c r="T47" s="115">
        <v>0</v>
      </c>
      <c r="U47" s="115">
        <v>0</v>
      </c>
      <c r="V47" s="115">
        <v>0</v>
      </c>
      <c r="W47" s="115">
        <v>0</v>
      </c>
      <c r="X47" s="115">
        <v>0</v>
      </c>
      <c r="Y47" s="115">
        <v>0</v>
      </c>
      <c r="Z47" s="115">
        <v>0</v>
      </c>
      <c r="AA47" s="115">
        <v>0</v>
      </c>
      <c r="AB47" s="115">
        <v>0</v>
      </c>
      <c r="AC47" s="115">
        <v>0</v>
      </c>
      <c r="AD47" s="115">
        <v>0</v>
      </c>
      <c r="AE47" s="115">
        <v>0</v>
      </c>
      <c r="AF47" s="115">
        <v>0</v>
      </c>
      <c r="AG47" s="115">
        <v>0</v>
      </c>
      <c r="AH47" s="115">
        <v>0</v>
      </c>
      <c r="AI47" s="115">
        <v>0</v>
      </c>
      <c r="AJ47" s="115">
        <v>0</v>
      </c>
      <c r="AK47" s="115">
        <v>0</v>
      </c>
      <c r="AL47" s="115">
        <v>0</v>
      </c>
      <c r="AM47" s="115">
        <v>0</v>
      </c>
      <c r="AN47" s="115">
        <v>0</v>
      </c>
      <c r="AO47" s="115">
        <v>0</v>
      </c>
      <c r="AP47" s="115">
        <v>0</v>
      </c>
      <c r="AQ47" s="115">
        <v>0</v>
      </c>
      <c r="AR47" s="115">
        <v>0</v>
      </c>
      <c r="AS47" s="115">
        <v>0</v>
      </c>
      <c r="AT47" s="116">
        <v>0</v>
      </c>
    </row>
    <row r="48" spans="2:46" ht="12" customHeight="1" x14ac:dyDescent="0.3">
      <c r="B48" s="114" t="s">
        <v>45</v>
      </c>
      <c r="C48" s="115" t="s">
        <v>23</v>
      </c>
      <c r="D48" s="115" t="s">
        <v>46</v>
      </c>
      <c r="E48" s="115" t="s">
        <v>47</v>
      </c>
      <c r="F48" s="115" t="s">
        <v>25</v>
      </c>
      <c r="G48" s="115" t="s">
        <v>25</v>
      </c>
      <c r="H48" s="115" t="s">
        <v>72</v>
      </c>
      <c r="I48" s="115" t="s">
        <v>25</v>
      </c>
      <c r="J48" s="115">
        <v>0</v>
      </c>
      <c r="K48" s="115">
        <v>0</v>
      </c>
      <c r="L48" s="115">
        <v>0</v>
      </c>
      <c r="M48" s="115">
        <v>0</v>
      </c>
      <c r="N48" s="115">
        <v>0</v>
      </c>
      <c r="O48" s="115">
        <v>0</v>
      </c>
      <c r="P48" s="115">
        <v>0</v>
      </c>
      <c r="Q48" s="115">
        <v>0</v>
      </c>
      <c r="R48" s="115">
        <v>0</v>
      </c>
      <c r="S48" s="115">
        <v>0</v>
      </c>
      <c r="T48" s="115">
        <v>0</v>
      </c>
      <c r="U48" s="115">
        <v>0</v>
      </c>
      <c r="V48" s="115">
        <v>0</v>
      </c>
      <c r="W48" s="115">
        <v>0</v>
      </c>
      <c r="X48" s="115">
        <v>0</v>
      </c>
      <c r="Y48" s="115">
        <v>0</v>
      </c>
      <c r="Z48" s="115">
        <v>0</v>
      </c>
      <c r="AA48" s="115">
        <v>0</v>
      </c>
      <c r="AB48" s="115">
        <v>0</v>
      </c>
      <c r="AC48" s="115">
        <v>0</v>
      </c>
      <c r="AD48" s="115">
        <v>0</v>
      </c>
      <c r="AE48" s="115">
        <v>0</v>
      </c>
      <c r="AF48" s="115">
        <v>0</v>
      </c>
      <c r="AG48" s="115">
        <v>0</v>
      </c>
      <c r="AH48" s="115">
        <v>0</v>
      </c>
      <c r="AI48" s="115">
        <v>0</v>
      </c>
      <c r="AJ48" s="115">
        <v>0</v>
      </c>
      <c r="AK48" s="115">
        <v>0</v>
      </c>
      <c r="AL48" s="115">
        <v>0</v>
      </c>
      <c r="AM48" s="115">
        <v>0</v>
      </c>
      <c r="AN48" s="115">
        <v>0</v>
      </c>
      <c r="AO48" s="115">
        <v>0</v>
      </c>
      <c r="AP48" s="115">
        <v>0</v>
      </c>
      <c r="AQ48" s="115">
        <v>0</v>
      </c>
      <c r="AR48" s="115">
        <v>0</v>
      </c>
      <c r="AS48" s="115">
        <v>0</v>
      </c>
      <c r="AT48" s="116">
        <v>0</v>
      </c>
    </row>
    <row r="49" spans="2:46" ht="12" customHeight="1" x14ac:dyDescent="0.3">
      <c r="B49" s="117" t="s">
        <v>45</v>
      </c>
      <c r="C49" s="118" t="s">
        <v>23</v>
      </c>
      <c r="D49" s="118" t="s">
        <v>46</v>
      </c>
      <c r="E49" s="118" t="s">
        <v>91</v>
      </c>
      <c r="F49" s="118" t="s">
        <v>25</v>
      </c>
      <c r="G49" s="118" t="s">
        <v>25</v>
      </c>
      <c r="H49" s="118" t="s">
        <v>72</v>
      </c>
      <c r="I49" s="118" t="s">
        <v>25</v>
      </c>
      <c r="J49" s="118">
        <v>0</v>
      </c>
      <c r="K49" s="118">
        <v>0</v>
      </c>
      <c r="L49" s="118">
        <v>0</v>
      </c>
      <c r="M49" s="118">
        <v>0</v>
      </c>
      <c r="N49" s="118">
        <v>0</v>
      </c>
      <c r="O49" s="118">
        <v>0</v>
      </c>
      <c r="P49" s="118">
        <v>0</v>
      </c>
      <c r="Q49" s="118">
        <v>0</v>
      </c>
      <c r="R49" s="118">
        <v>0</v>
      </c>
      <c r="S49" s="118">
        <v>0</v>
      </c>
      <c r="T49" s="118">
        <v>0</v>
      </c>
      <c r="U49" s="118">
        <v>0</v>
      </c>
      <c r="V49" s="118">
        <v>0</v>
      </c>
      <c r="W49" s="118">
        <v>0</v>
      </c>
      <c r="X49" s="118">
        <v>0</v>
      </c>
      <c r="Y49" s="118">
        <v>0</v>
      </c>
      <c r="Z49" s="118">
        <v>0</v>
      </c>
      <c r="AA49" s="118">
        <v>0</v>
      </c>
      <c r="AB49" s="118">
        <v>0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18">
        <v>0</v>
      </c>
      <c r="AN49" s="118">
        <v>0</v>
      </c>
      <c r="AO49" s="118">
        <v>0</v>
      </c>
      <c r="AP49" s="118">
        <v>0</v>
      </c>
      <c r="AQ49" s="118">
        <v>0</v>
      </c>
      <c r="AR49" s="118">
        <v>0</v>
      </c>
      <c r="AS49" s="118">
        <v>0</v>
      </c>
      <c r="AT49" s="119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2022-08-29T18:19:20Z</dcterms:created>
  <dcterms:modified xsi:type="dcterms:W3CDTF">2022-09-16T20:00:18Z</dcterms:modified>
</cp:coreProperties>
</file>